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-Динамічні діапазони" sheetId="1" r:id="rId4"/>
    <sheet state="visible" name="Консолідація даних-IMPORTRANGE" sheetId="2" r:id="rId5"/>
    <sheet state="visible" name="Дані Продажі" sheetId="3" r:id="rId6"/>
  </sheets>
  <definedNames>
    <definedName hidden="1" localSheetId="1" name="_xlnm._FilterDatabase">'Консолідація даних-IMPORTRANGE'!$A$1:$H$2008</definedName>
    <definedName hidden="1" localSheetId="2" name="_xlnm._FilterDatabase">'Дані Продажі'!$A$1:$Z$4096</definedName>
  </definedNames>
  <calcPr/>
</workbook>
</file>

<file path=xl/sharedStrings.xml><?xml version="1.0" encoding="utf-8"?>
<sst xmlns="http://schemas.openxmlformats.org/spreadsheetml/2006/main" count="8067" uniqueCount="2656">
  <si>
    <t>FILTER</t>
  </si>
  <si>
    <t>File1</t>
  </si>
  <si>
    <t>ДЗ</t>
  </si>
  <si>
    <t>IMPORTRANGE</t>
  </si>
  <si>
    <t>File2</t>
  </si>
  <si>
    <t>1)</t>
  </si>
  <si>
    <t>Вивести всю інформацію по продажам з листа Дані продажі по сегменту Consumer</t>
  </si>
  <si>
    <t>File3</t>
  </si>
  <si>
    <t>2)</t>
  </si>
  <si>
    <t>Об"єднати дані з 4х файлів з різних Регіонів на одній сторінці</t>
  </si>
  <si>
    <t>File4</t>
  </si>
  <si>
    <t>Consumer</t>
  </si>
  <si>
    <t>Order ID</t>
  </si>
  <si>
    <t>Order Date</t>
  </si>
  <si>
    <t>Segment</t>
  </si>
  <si>
    <t>State</t>
  </si>
  <si>
    <t>Region</t>
  </si>
  <si>
    <t>Sales</t>
  </si>
  <si>
    <t>Quantity</t>
  </si>
  <si>
    <t>Profit</t>
  </si>
  <si>
    <t>ДЗ Підвищеної складності</t>
  </si>
  <si>
    <t>Прописати формулу IMPORTRANGE ссилаючись на таблицю, де будуть внесені лінки на файли (I1;I4)</t>
  </si>
  <si>
    <t>https://docs.google.com/spreadsheets/d/1WSNNUhzyVLVsyjsEwV--mF-YCSt3FN4CXqvAoLCjkIs/edit?usp=sharing</t>
  </si>
  <si>
    <t>https://docs.google.com/spreadsheets/d/1DY54SG1pJjeT2Q97BgEcHSB2Q244E3Y7VpIgf3qQdNA/edit?usp=sharing</t>
  </si>
  <si>
    <t>https://docs.google.com/spreadsheets/d/1EOhysyP6wMZFAMjkqgncI8Yy7UJHXHuntFAWwdXXNp4/edit?usp=sharing</t>
  </si>
  <si>
    <t>https://docs.google.com/spreadsheets/d/1vKehoI6ITw95B4VXms0qYaGMHhg7-4UR4Ri1RJqwhBU/edit?usp=sharing</t>
  </si>
  <si>
    <t>CA-2014-115812</t>
  </si>
  <si>
    <t>California</t>
  </si>
  <si>
    <t>West</t>
  </si>
  <si>
    <t>CA-2014-105893</t>
  </si>
  <si>
    <t>Wisconsin</t>
  </si>
  <si>
    <t>Central</t>
  </si>
  <si>
    <t>CA-2014-167164</t>
  </si>
  <si>
    <t>Utah</t>
  </si>
  <si>
    <t>CA-2014-143336</t>
  </si>
  <si>
    <t>CA-2014-146703</t>
  </si>
  <si>
    <t>Michigan</t>
  </si>
  <si>
    <t>CA-2014-106376</t>
  </si>
  <si>
    <t>Corporate</t>
  </si>
  <si>
    <t>Arizona</t>
  </si>
  <si>
    <t>US-2014-147606</t>
  </si>
  <si>
    <t>Texas</t>
  </si>
  <si>
    <t>CA-2014-139451</t>
  </si>
  <si>
    <t>CA-2014-115259</t>
  </si>
  <si>
    <t>Ohio</t>
  </si>
  <si>
    <t>East</t>
  </si>
  <si>
    <t>US-2014-152030</t>
  </si>
  <si>
    <t>Home Office</t>
  </si>
  <si>
    <t>US-2014-134614</t>
  </si>
  <si>
    <t>Illinois</t>
  </si>
  <si>
    <t>CA-2014-110072</t>
  </si>
  <si>
    <t>CA-2014-104269</t>
  </si>
  <si>
    <t>Washington</t>
  </si>
  <si>
    <t>CA-2014-139892</t>
  </si>
  <si>
    <t>CA-2014-118962</t>
  </si>
  <si>
    <t>US-2014-100853</t>
  </si>
  <si>
    <t>CA-2014-166191</t>
  </si>
  <si>
    <t>CA-2014-158274</t>
  </si>
  <si>
    <t>Louisiana</t>
  </si>
  <si>
    <t>South</t>
  </si>
  <si>
    <t>CA-2014-123260</t>
  </si>
  <si>
    <t>CA-2014-140004</t>
  </si>
  <si>
    <t>CA-2014-133690</t>
  </si>
  <si>
    <t>Colorado</t>
  </si>
  <si>
    <t>US-2014-156216</t>
  </si>
  <si>
    <t>North Carolina</t>
  </si>
  <si>
    <t>CA-2014-131926</t>
  </si>
  <si>
    <t>Minnesota</t>
  </si>
  <si>
    <t>US-2014-106992</t>
  </si>
  <si>
    <t>CA-2014-111451</t>
  </si>
  <si>
    <t>CA-2014-130960</t>
  </si>
  <si>
    <t>CA-2014-111003</t>
  </si>
  <si>
    <t>New Jersey</t>
  </si>
  <si>
    <t>CA-2014-120887</t>
  </si>
  <si>
    <t>CA-2014-167850</t>
  </si>
  <si>
    <t>Florida</t>
  </si>
  <si>
    <t>CA-2014-164259</t>
  </si>
  <si>
    <t>Pennsylvania</t>
  </si>
  <si>
    <t>CA-2014-164973</t>
  </si>
  <si>
    <t>New York</t>
  </si>
  <si>
    <t>CA-2014-156601</t>
  </si>
  <si>
    <t>CA-2014-129924</t>
  </si>
  <si>
    <t>CA-2014-122336</t>
  </si>
  <si>
    <t>CA-2014-123344</t>
  </si>
  <si>
    <t>US-2014-119137</t>
  </si>
  <si>
    <t>CA-2014-115973</t>
  </si>
  <si>
    <t>US-2014-135972</t>
  </si>
  <si>
    <t>US-2014-134971</t>
  </si>
  <si>
    <t>CA-2014-113166</t>
  </si>
  <si>
    <t>CA-2014-155208</t>
  </si>
  <si>
    <t>CA-2014-142048</t>
  </si>
  <si>
    <t>CA-2014-101476</t>
  </si>
  <si>
    <t>US-2014-150574</t>
  </si>
  <si>
    <t>US-2014-110674</t>
  </si>
  <si>
    <t>CA-2014-144666</t>
  </si>
  <si>
    <t>CA-2014-134677</t>
  </si>
  <si>
    <t>CA-2014-127691</t>
  </si>
  <si>
    <t>CA-2014-154627</t>
  </si>
  <si>
    <t>CA-2014-133753</t>
  </si>
  <si>
    <t>CA-2014-113362</t>
  </si>
  <si>
    <t>CA-2014-140795</t>
  </si>
  <si>
    <t>CA-2014-103849</t>
  </si>
  <si>
    <t>CA-2014-155852</t>
  </si>
  <si>
    <t>CA-2014-145576</t>
  </si>
  <si>
    <t>CA-2014-135405</t>
  </si>
  <si>
    <t>CA-2014-131450</t>
  </si>
  <si>
    <t>CA-2014-149958</t>
  </si>
  <si>
    <t>US-2014-105767</t>
  </si>
  <si>
    <t>US-2014-111171</t>
  </si>
  <si>
    <t>CA-2014-156314</t>
  </si>
  <si>
    <t>CA-2014-157784</t>
  </si>
  <si>
    <t>Mississippi</t>
  </si>
  <si>
    <t>US-2014-117135</t>
  </si>
  <si>
    <t>Virginia</t>
  </si>
  <si>
    <t>CA-2014-138527</t>
  </si>
  <si>
    <t>CA-2014-112158</t>
  </si>
  <si>
    <t>CA-2014-113887</t>
  </si>
  <si>
    <t>CA-2014-153150</t>
  </si>
  <si>
    <t>CA-2014-130092</t>
  </si>
  <si>
    <t>Delaware</t>
  </si>
  <si>
    <t>CA-2014-104472</t>
  </si>
  <si>
    <t>CA-2014-117429</t>
  </si>
  <si>
    <t>CA-2014-132500</t>
  </si>
  <si>
    <t>CA-2014-112326</t>
  </si>
  <si>
    <t>CA-2014-124429</t>
  </si>
  <si>
    <t>CA-2014-106803</t>
  </si>
  <si>
    <t>CA-2014-162775</t>
  </si>
  <si>
    <t>CA-2014-106810</t>
  </si>
  <si>
    <t>CA-2014-165974</t>
  </si>
  <si>
    <t>CA-2014-156433</t>
  </si>
  <si>
    <t>CA-2014-134313</t>
  </si>
  <si>
    <t>CA-2014-151995</t>
  </si>
  <si>
    <t>CA-2014-140858</t>
  </si>
  <si>
    <t>US-2014-102071</t>
  </si>
  <si>
    <t>US-2014-115987</t>
  </si>
  <si>
    <t>CA-2014-107755</t>
  </si>
  <si>
    <t>CA-2014-125612</t>
  </si>
  <si>
    <t>CA-2014-133851</t>
  </si>
  <si>
    <t>CA-2014-149020</t>
  </si>
  <si>
    <t>CA-2014-136742</t>
  </si>
  <si>
    <t>CA-2014-148488</t>
  </si>
  <si>
    <t>US-2014-158638</t>
  </si>
  <si>
    <t>CA-2014-134061</t>
  </si>
  <si>
    <t>CA-2014-104976</t>
  </si>
  <si>
    <t>CA-2014-144407</t>
  </si>
  <si>
    <t>US-2014-141215</t>
  </si>
  <si>
    <t>CA-2014-138296</t>
  </si>
  <si>
    <t>CA-2014-132962</t>
  </si>
  <si>
    <t>CA-2014-127488</t>
  </si>
  <si>
    <t>CA-2014-115791</t>
  </si>
  <si>
    <t>CA-2014-163419</t>
  </si>
  <si>
    <t>CA-2014-117639</t>
  </si>
  <si>
    <t>CA-2014-158540</t>
  </si>
  <si>
    <t>CA-2014-163552</t>
  </si>
  <si>
    <t>CA-2014-139192</t>
  </si>
  <si>
    <t>CA-2014-159338</t>
  </si>
  <si>
    <t>US-2014-147627</t>
  </si>
  <si>
    <t>Arkansas</t>
  </si>
  <si>
    <t>CA-2014-146969</t>
  </si>
  <si>
    <t>CA-2014-136567</t>
  </si>
  <si>
    <t>CA-2014-126522</t>
  </si>
  <si>
    <t>CA-2014-127964</t>
  </si>
  <si>
    <t>CA-2014-117709</t>
  </si>
  <si>
    <t>US-2014-100279</t>
  </si>
  <si>
    <t>CA-2014-158064</t>
  </si>
  <si>
    <t>CA-2014-120243</t>
  </si>
  <si>
    <t>CA-2014-128146</t>
  </si>
  <si>
    <t>CA-2014-127131</t>
  </si>
  <si>
    <t>CA-2014-110184</t>
  </si>
  <si>
    <t>CA-2014-127012</t>
  </si>
  <si>
    <t>CA-2014-168494</t>
  </si>
  <si>
    <t>US-2014-167738</t>
  </si>
  <si>
    <t>CA-2014-163293</t>
  </si>
  <si>
    <t>Georgia</t>
  </si>
  <si>
    <t>CA-2014-160773</t>
  </si>
  <si>
    <t>CA-2014-107153</t>
  </si>
  <si>
    <t>Massachusetts</t>
  </si>
  <si>
    <t>US-2014-117058</t>
  </si>
  <si>
    <t>CA-2014-122567</t>
  </si>
  <si>
    <t>CA-2014-121664</t>
  </si>
  <si>
    <t>CA-2014-118339</t>
  </si>
  <si>
    <t>CA-2014-153976</t>
  </si>
  <si>
    <t>US-2014-160444</t>
  </si>
  <si>
    <t>US-2014-151925</t>
  </si>
  <si>
    <t>US-2014-157021</t>
  </si>
  <si>
    <t>CA-2014-126361</t>
  </si>
  <si>
    <t>US-2014-118486</t>
  </si>
  <si>
    <t>CA-2014-146640</t>
  </si>
  <si>
    <t>CA-2014-120768</t>
  </si>
  <si>
    <t>Alabama</t>
  </si>
  <si>
    <t>US-2014-112564</t>
  </si>
  <si>
    <t>CA-2014-155271</t>
  </si>
  <si>
    <t>Connecticut</t>
  </si>
  <si>
    <t>CA-2014-151708</t>
  </si>
  <si>
    <t>CA-2014-119032</t>
  </si>
  <si>
    <t>CA-2014-136280</t>
  </si>
  <si>
    <t>CA-2014-123925</t>
  </si>
  <si>
    <t>CA-2014-111059</t>
  </si>
  <si>
    <t>CA-2014-166884</t>
  </si>
  <si>
    <t>CA-2014-107181</t>
  </si>
  <si>
    <t>CA-2014-150245</t>
  </si>
  <si>
    <t>CA-2014-134278</t>
  </si>
  <si>
    <t>CA-2014-130274</t>
  </si>
  <si>
    <t>CA-2014-105172</t>
  </si>
  <si>
    <t>CA-2014-116239</t>
  </si>
  <si>
    <t>South Carolina</t>
  </si>
  <si>
    <t>US-2014-157385</t>
  </si>
  <si>
    <t>CA-2014-101602</t>
  </si>
  <si>
    <t>CA-2014-117317</t>
  </si>
  <si>
    <t>CA-2014-156349</t>
  </si>
  <si>
    <t>CA-2014-168984</t>
  </si>
  <si>
    <t>Oregon</t>
  </si>
  <si>
    <t>US-2014-134712</t>
  </si>
  <si>
    <t>CA-2014-135699</t>
  </si>
  <si>
    <t>CA-2014-127159</t>
  </si>
  <si>
    <t>CA-2014-122882</t>
  </si>
  <si>
    <t>CA-2014-142839</t>
  </si>
  <si>
    <t>CA-2014-135657</t>
  </si>
  <si>
    <t>CA-2014-139857</t>
  </si>
  <si>
    <t>CA-2014-125136</t>
  </si>
  <si>
    <t>CA-2014-110527</t>
  </si>
  <si>
    <t>CA-2014-133270</t>
  </si>
  <si>
    <t>US-2014-157406</t>
  </si>
  <si>
    <t>CA-2014-139017</t>
  </si>
  <si>
    <t>CA-2014-141817</t>
  </si>
  <si>
    <t>US-2014-158057</t>
  </si>
  <si>
    <t>CA-2014-118976</t>
  </si>
  <si>
    <t>Maryland</t>
  </si>
  <si>
    <t>CA-2014-102008</t>
  </si>
  <si>
    <t>CA-2014-120474</t>
  </si>
  <si>
    <t>CA-2014-104773</t>
  </si>
  <si>
    <t>CA-2014-132612</t>
  </si>
  <si>
    <t>US-2014-130379</t>
  </si>
  <si>
    <t>CA-2014-103373</t>
  </si>
  <si>
    <t>CA-2014-141278</t>
  </si>
  <si>
    <t>CA-2014-117345</t>
  </si>
  <si>
    <t>CA-2014-114643</t>
  </si>
  <si>
    <t>CA-2014-151078</t>
  </si>
  <si>
    <t>CA-2014-116932</t>
  </si>
  <si>
    <t>CA-2014-147914</t>
  </si>
  <si>
    <t>CA-2014-140165</t>
  </si>
  <si>
    <t>CA-2014-142587</t>
  </si>
  <si>
    <t>CA-2014-157623</t>
  </si>
  <si>
    <t>CA-2014-169775</t>
  </si>
  <si>
    <t>CA-2014-103366</t>
  </si>
  <si>
    <t>CA-2014-148950</t>
  </si>
  <si>
    <t>CA-2014-110408</t>
  </si>
  <si>
    <t>CA-2014-122749</t>
  </si>
  <si>
    <t>Oklahoma</t>
  </si>
  <si>
    <t>CA-2014-164721</t>
  </si>
  <si>
    <t>CA-2014-131905</t>
  </si>
  <si>
    <t>CA-2014-111150</t>
  </si>
  <si>
    <t>Missouri</t>
  </si>
  <si>
    <t>CA-2014-116407</t>
  </si>
  <si>
    <t>Tennessee</t>
  </si>
  <si>
    <t>CA-2014-129168</t>
  </si>
  <si>
    <t>CA-2014-106439</t>
  </si>
  <si>
    <t>CA-2014-131051</t>
  </si>
  <si>
    <t>CA-2014-110352</t>
  </si>
  <si>
    <t>CA-2014-145926</t>
  </si>
  <si>
    <t>US-2014-140116</t>
  </si>
  <si>
    <t>CA-2014-123295</t>
  </si>
  <si>
    <t>US-2014-167633</t>
  </si>
  <si>
    <t>US-2014-152723</t>
  </si>
  <si>
    <t>CA-2014-126032</t>
  </si>
  <si>
    <t>US-2014-114188</t>
  </si>
  <si>
    <t>New Hampshire</t>
  </si>
  <si>
    <t>CA-2014-159520</t>
  </si>
  <si>
    <t>CA-2014-141607</t>
  </si>
  <si>
    <t>CA-2014-167360</t>
  </si>
  <si>
    <t>CA-2014-124646</t>
  </si>
  <si>
    <t>CA-2014-152296</t>
  </si>
  <si>
    <t>CA-2014-163013</t>
  </si>
  <si>
    <t>US-2014-165659</t>
  </si>
  <si>
    <t>US-2014-103905</t>
  </si>
  <si>
    <t>CA-2014-125556</t>
  </si>
  <si>
    <t>CA-2014-151953</t>
  </si>
  <si>
    <t>CA-2014-128055</t>
  </si>
  <si>
    <t>CA-2014-157882</t>
  </si>
  <si>
    <t>CA-2014-104283</t>
  </si>
  <si>
    <t>CA-2014-162362</t>
  </si>
  <si>
    <t>CA-2014-140886</t>
  </si>
  <si>
    <t>CA-2014-110639</t>
  </si>
  <si>
    <t>CA-2014-121727</t>
  </si>
  <si>
    <t>US-2014-143231</t>
  </si>
  <si>
    <t>US-2014-155894</t>
  </si>
  <si>
    <t>US-2014-148838</t>
  </si>
  <si>
    <t>CA-2014-102295</t>
  </si>
  <si>
    <t>US-2014-164616</t>
  </si>
  <si>
    <t>CA-2014-162684</t>
  </si>
  <si>
    <t>CA-2014-151295</t>
  </si>
  <si>
    <t>CA-2014-148586</t>
  </si>
  <si>
    <t>CA-2014-164210</t>
  </si>
  <si>
    <t>CA-2014-145212</t>
  </si>
  <si>
    <t>CA-2014-113579</t>
  </si>
  <si>
    <t>CA-2014-144624</t>
  </si>
  <si>
    <t>CA-2014-136644</t>
  </si>
  <si>
    <t>Indiana</t>
  </si>
  <si>
    <t>CA-2014-143917</t>
  </si>
  <si>
    <t>CA-2014-106572</t>
  </si>
  <si>
    <t>CA-2014-128888</t>
  </si>
  <si>
    <t>CA-2014-108707</t>
  </si>
  <si>
    <t>CA-2014-111500</t>
  </si>
  <si>
    <t>CA-2014-164385</t>
  </si>
  <si>
    <t>CA-2014-129091</t>
  </si>
  <si>
    <t>US-2014-155502</t>
  </si>
  <si>
    <t>CA-2014-112718</t>
  </si>
  <si>
    <t>CA-2014-127446</t>
  </si>
  <si>
    <t>CA-2014-147298</t>
  </si>
  <si>
    <t>CA-2014-164861</t>
  </si>
  <si>
    <t>CA-2014-131002</t>
  </si>
  <si>
    <t>CA-2014-126403</t>
  </si>
  <si>
    <t>US-2014-160780</t>
  </si>
  <si>
    <t>CA-2014-123064</t>
  </si>
  <si>
    <t>CA-2014-143182</t>
  </si>
  <si>
    <t>CA-2014-145317</t>
  </si>
  <si>
    <t>CA-2014-143413</t>
  </si>
  <si>
    <t>CA-2014-110100</t>
  </si>
  <si>
    <t>CA-2014-127187</t>
  </si>
  <si>
    <t>CA-2014-100006</t>
  </si>
  <si>
    <t>CA-2014-110030</t>
  </si>
  <si>
    <t>CA-2014-121286</t>
  </si>
  <si>
    <t>CA-2014-153479</t>
  </si>
  <si>
    <t>CA-2014-107594</t>
  </si>
  <si>
    <t>CA-2014-149244</t>
  </si>
  <si>
    <t>CA-2014-155887</t>
  </si>
  <si>
    <t>US-2014-141257</t>
  </si>
  <si>
    <t>CA-2014-154669</t>
  </si>
  <si>
    <t>CA-2014-158029</t>
  </si>
  <si>
    <t>CA-2014-129574</t>
  </si>
  <si>
    <t>US-2014-117744</t>
  </si>
  <si>
    <t>CA-2014-125514</t>
  </si>
  <si>
    <t>Nebraska</t>
  </si>
  <si>
    <t>CA-2014-154599</t>
  </si>
  <si>
    <t>US-2014-112914</t>
  </si>
  <si>
    <t>CA-2014-148915</t>
  </si>
  <si>
    <t>US-2014-125521</t>
  </si>
  <si>
    <t>CA-2014-148040</t>
  </si>
  <si>
    <t>CA-2014-165540</t>
  </si>
  <si>
    <t>CA-2014-142727</t>
  </si>
  <si>
    <t>CA-2014-169033</t>
  </si>
  <si>
    <t>CA-2014-127586</t>
  </si>
  <si>
    <t>CA-2014-113929</t>
  </si>
  <si>
    <t>CA-2014-156993</t>
  </si>
  <si>
    <t>CA-2014-157721</t>
  </si>
  <si>
    <t>CA-2014-162866</t>
  </si>
  <si>
    <t>CA-2014-109232</t>
  </si>
  <si>
    <t>CA-2014-131310</t>
  </si>
  <si>
    <t>US-2014-112872</t>
  </si>
  <si>
    <t>US-2014-150532</t>
  </si>
  <si>
    <t>CA-2014-138317</t>
  </si>
  <si>
    <t>CA-2014-148761</t>
  </si>
  <si>
    <t>CA-2014-130729</t>
  </si>
  <si>
    <t>CA-2014-106719</t>
  </si>
  <si>
    <t>Montana</t>
  </si>
  <si>
    <t>CA-2014-137351</t>
  </si>
  <si>
    <t>CA-2014-119375</t>
  </si>
  <si>
    <t>CA-2014-143903</t>
  </si>
  <si>
    <t>CA-2014-104780</t>
  </si>
  <si>
    <t>CA-2014-100328</t>
  </si>
  <si>
    <t>CA-2014-136399</t>
  </si>
  <si>
    <t>CA-2014-107916</t>
  </si>
  <si>
    <t>US-2014-122959</t>
  </si>
  <si>
    <t>CA-2014-109218</t>
  </si>
  <si>
    <t>US-2014-109036</t>
  </si>
  <si>
    <t>CA-2014-128986</t>
  </si>
  <si>
    <t>US-2014-150924</t>
  </si>
  <si>
    <t>CA-2014-153969</t>
  </si>
  <si>
    <t>CA-2014-123498</t>
  </si>
  <si>
    <t>CA-2014-165428</t>
  </si>
  <si>
    <t>CA-2014-131527</t>
  </si>
  <si>
    <t>CA-2014-164224</t>
  </si>
  <si>
    <t>CA-2014-158372</t>
  </si>
  <si>
    <t>CA-2014-142314</t>
  </si>
  <si>
    <t>CA-2014-114433</t>
  </si>
  <si>
    <t>CA-2014-108189</t>
  </si>
  <si>
    <t>CA-2014-154641</t>
  </si>
  <si>
    <t>CA-2014-151554</t>
  </si>
  <si>
    <t>CA-2014-140662</t>
  </si>
  <si>
    <t>US-2014-126571</t>
  </si>
  <si>
    <t>CA-2014-143840</t>
  </si>
  <si>
    <t>CA-2014-115980</t>
  </si>
  <si>
    <t>South Dakota</t>
  </si>
  <si>
    <t>CA-2014-102988</t>
  </si>
  <si>
    <t>US-2014-117170</t>
  </si>
  <si>
    <t>CA-2014-159478</t>
  </si>
  <si>
    <t>CA-2014-103702</t>
  </si>
  <si>
    <t>CA-2014-106264</t>
  </si>
  <si>
    <t>CA-2014-138023</t>
  </si>
  <si>
    <t>US-2014-159926</t>
  </si>
  <si>
    <t>CA-2014-104738</t>
  </si>
  <si>
    <t>US-2014-133130</t>
  </si>
  <si>
    <t>CA-2014-134551</t>
  </si>
  <si>
    <t>CA-2014-165309</t>
  </si>
  <si>
    <t>US-2014-134733</t>
  </si>
  <si>
    <t>US-2014-150434</t>
  </si>
  <si>
    <t>CA-2014-115161</t>
  </si>
  <si>
    <t>CA-2014-165379</t>
  </si>
  <si>
    <t>CA-2014-166471</t>
  </si>
  <si>
    <t>CA-2014-105340</t>
  </si>
  <si>
    <t>CA-2014-102274</t>
  </si>
  <si>
    <t>Kentucky</t>
  </si>
  <si>
    <t>US-2014-150119</t>
  </si>
  <si>
    <t>CA-2014-158337</t>
  </si>
  <si>
    <t>CA-2014-168592</t>
  </si>
  <si>
    <t>CA-2014-157609</t>
  </si>
  <si>
    <t>CA-2014-143385</t>
  </si>
  <si>
    <t>New Mexico</t>
  </si>
  <si>
    <t>CA-2014-124023</t>
  </si>
  <si>
    <t>CA-2014-124688</t>
  </si>
  <si>
    <t>CA-2014-166863</t>
  </si>
  <si>
    <t>CA-2014-110849</t>
  </si>
  <si>
    <t>CA-2014-158771</t>
  </si>
  <si>
    <t>CA-2014-120838</t>
  </si>
  <si>
    <t>CA-2014-154186</t>
  </si>
  <si>
    <t>CA-2014-102869</t>
  </si>
  <si>
    <t>CA-2014-159835</t>
  </si>
  <si>
    <t>CA-2014-163559</t>
  </si>
  <si>
    <t>CA-2014-140228</t>
  </si>
  <si>
    <t>CA-2014-159184</t>
  </si>
  <si>
    <t>CA-2014-169726</t>
  </si>
  <si>
    <t>CA-2014-156594</t>
  </si>
  <si>
    <t>CA-2014-146528</t>
  </si>
  <si>
    <t>CA-2014-129364</t>
  </si>
  <si>
    <t>CA-2014-140039</t>
  </si>
  <si>
    <t>CA-2014-120544</t>
  </si>
  <si>
    <t>CA-2014-135608</t>
  </si>
  <si>
    <t>US-2014-169789</t>
  </si>
  <si>
    <t>CA-2014-113047</t>
  </si>
  <si>
    <t>CA-2014-153913</t>
  </si>
  <si>
    <t>CA-2014-115357</t>
  </si>
  <si>
    <t>US-2014-102715</t>
  </si>
  <si>
    <t>CA-2014-149643</t>
  </si>
  <si>
    <t>Kansas</t>
  </si>
  <si>
    <t>CA-2014-107139</t>
  </si>
  <si>
    <t>US-2014-117163</t>
  </si>
  <si>
    <t>CA-2014-132801</t>
  </si>
  <si>
    <t>CA-2014-105984</t>
  </si>
  <si>
    <t>CA-2014-100363</t>
  </si>
  <si>
    <t>CA-2014-126760</t>
  </si>
  <si>
    <t>Nevada</t>
  </si>
  <si>
    <t>US-2014-109162</t>
  </si>
  <si>
    <t>CA-2014-101931</t>
  </si>
  <si>
    <t>CA-2014-140816</t>
  </si>
  <si>
    <t>CA-2014-135755</t>
  </si>
  <si>
    <t>CA-2014-124709</t>
  </si>
  <si>
    <t>CA-2014-151001</t>
  </si>
  <si>
    <t>CA-2014-152849</t>
  </si>
  <si>
    <t>CA-2014-100895</t>
  </si>
  <si>
    <t>US-2014-112200</t>
  </si>
  <si>
    <t>CA-2014-103940</t>
  </si>
  <si>
    <t>CA-2014-121167</t>
  </si>
  <si>
    <t>CA-2014-133228</t>
  </si>
  <si>
    <t>CA-2014-164910</t>
  </si>
  <si>
    <t>CA-2014-135090</t>
  </si>
  <si>
    <t>CA-2014-114517</t>
  </si>
  <si>
    <t>CA-2014-122588</t>
  </si>
  <si>
    <t>Rhode Island</t>
  </si>
  <si>
    <t>CA-2014-137589</t>
  </si>
  <si>
    <t>CA-2014-116834</t>
  </si>
  <si>
    <t>CA-2014-154963</t>
  </si>
  <si>
    <t>CA-2014-110786</t>
  </si>
  <si>
    <t>CA-2014-122931</t>
  </si>
  <si>
    <t>CA-2014-163034</t>
  </si>
  <si>
    <t>US-2014-130358</t>
  </si>
  <si>
    <t>CA-2014-102673</t>
  </si>
  <si>
    <t>US-2014-156559</t>
  </si>
  <si>
    <t>CA-2014-116904</t>
  </si>
  <si>
    <t>CA-2014-127523</t>
  </si>
  <si>
    <t>CA-2014-127299</t>
  </si>
  <si>
    <t>CA-2014-115336</t>
  </si>
  <si>
    <t>CA-2014-128839</t>
  </si>
  <si>
    <t>US-2014-107699</t>
  </si>
  <si>
    <t>CA-2014-126907</t>
  </si>
  <si>
    <t>CA-2014-157924</t>
  </si>
  <si>
    <t>CA-2014-128846</t>
  </si>
  <si>
    <t>CA-2014-145387</t>
  </si>
  <si>
    <t>CA-2014-166457</t>
  </si>
  <si>
    <t>CA-2014-103590</t>
  </si>
  <si>
    <t>US-2014-102631</t>
  </si>
  <si>
    <t>CA-2014-168823</t>
  </si>
  <si>
    <t>CA-2014-133704</t>
  </si>
  <si>
    <t>CA-2014-138436</t>
  </si>
  <si>
    <t>CA-2014-168130</t>
  </si>
  <si>
    <t>CA-2014-166989</t>
  </si>
  <si>
    <t>CA-2014-103100</t>
  </si>
  <si>
    <t>CA-2014-123253</t>
  </si>
  <si>
    <t>CA-2014-162278</t>
  </si>
  <si>
    <t>CA-2014-125829</t>
  </si>
  <si>
    <t>CA-2014-123127</t>
  </si>
  <si>
    <t>CA-2014-152345</t>
  </si>
  <si>
    <t>US-2014-129609</t>
  </si>
  <si>
    <t>CA-2014-166954</t>
  </si>
  <si>
    <t>CA-2014-142965</t>
  </si>
  <si>
    <t>US-2014-138758</t>
  </si>
  <si>
    <t>CA-2014-127936</t>
  </si>
  <si>
    <t>US-2014-154879</t>
  </si>
  <si>
    <t>CA-2014-130624</t>
  </si>
  <si>
    <t>CA-2014-153983</t>
  </si>
  <si>
    <t>CA-2014-160157</t>
  </si>
  <si>
    <t>CA-2014-139633</t>
  </si>
  <si>
    <t>CA-2014-117016</t>
  </si>
  <si>
    <t>US-2014-147704</t>
  </si>
  <si>
    <t>CA-2014-147235</t>
  </si>
  <si>
    <t>CA-2014-150798</t>
  </si>
  <si>
    <t>CA-2014-103401</t>
  </si>
  <si>
    <t>CA-2014-116757</t>
  </si>
  <si>
    <t>US-2014-138247</t>
  </si>
  <si>
    <t>CA-2014-109491</t>
  </si>
  <si>
    <t>CA-2014-107454</t>
  </si>
  <si>
    <t>CA-2014-140403</t>
  </si>
  <si>
    <t>US-2014-165862</t>
  </si>
  <si>
    <t>US-2014-106334</t>
  </si>
  <si>
    <t>CA-2014-127383</t>
  </si>
  <si>
    <t>CA-2014-110219</t>
  </si>
  <si>
    <t>CA-2014-101175</t>
  </si>
  <si>
    <t>CA-2014-169460</t>
  </si>
  <si>
    <t>US-2014-121734</t>
  </si>
  <si>
    <t>Idaho</t>
  </si>
  <si>
    <t>US-2014-150126</t>
  </si>
  <si>
    <t>CA-2014-146885</t>
  </si>
  <si>
    <t>CA-2014-160738</t>
  </si>
  <si>
    <t>CA-2014-114510</t>
  </si>
  <si>
    <t>CA-2014-138681</t>
  </si>
  <si>
    <t>CA-2014-112403</t>
  </si>
  <si>
    <t>CA-2014-108273</t>
  </si>
  <si>
    <t>CA-2014-106229</t>
  </si>
  <si>
    <t>CA-2014-119151</t>
  </si>
  <si>
    <t>CA-2014-123323</t>
  </si>
  <si>
    <t>CA-2014-121573</t>
  </si>
  <si>
    <t>CA-2014-112851</t>
  </si>
  <si>
    <t>US-2014-167262</t>
  </si>
  <si>
    <t>CA-2014-150301</t>
  </si>
  <si>
    <t>CA-2014-159310</t>
  </si>
  <si>
    <t>CA-2014-149055</t>
  </si>
  <si>
    <t>CA-2014-139598</t>
  </si>
  <si>
    <t>CA-2014-152562</t>
  </si>
  <si>
    <t>CA-2014-120278</t>
  </si>
  <si>
    <t>US-2014-128685</t>
  </si>
  <si>
    <t>CA-2014-164469</t>
  </si>
  <si>
    <t>CA-2014-107818</t>
  </si>
  <si>
    <t>CA-2014-113320</t>
  </si>
  <si>
    <t>CA-2014-138940</t>
  </si>
  <si>
    <t>CA-2014-132864</t>
  </si>
  <si>
    <t>US-2014-155817</t>
  </si>
  <si>
    <t>CA-2014-151379</t>
  </si>
  <si>
    <t>US-2014-122021</t>
  </si>
  <si>
    <t>US-2014-161613</t>
  </si>
  <si>
    <t>US-2014-146353</t>
  </si>
  <si>
    <t>CA-2014-133809</t>
  </si>
  <si>
    <t>US-2014-138828</t>
  </si>
  <si>
    <t>CA-2014-157147</t>
  </si>
  <si>
    <t>CA-2014-102085</t>
  </si>
  <si>
    <t>CA-2014-160262</t>
  </si>
  <si>
    <t>CA-2014-156587</t>
  </si>
  <si>
    <t>CA-2014-160066</t>
  </si>
  <si>
    <t>CA-2014-125171</t>
  </si>
  <si>
    <t>CA-2014-132227</t>
  </si>
  <si>
    <t>CA-2014-156006</t>
  </si>
  <si>
    <t>CA-2014-153850</t>
  </si>
  <si>
    <t>CA-2014-127558</t>
  </si>
  <si>
    <t>CA-2014-151792</t>
  </si>
  <si>
    <t>CA-2014-169803</t>
  </si>
  <si>
    <t>US-2014-104759</t>
  </si>
  <si>
    <t>CA-2014-124478</t>
  </si>
  <si>
    <t>CA-2014-134572</t>
  </si>
  <si>
    <t>US-2014-140452</t>
  </si>
  <si>
    <t>CA-2014-158442</t>
  </si>
  <si>
    <t>CA-2014-116568</t>
  </si>
  <si>
    <t>CA-2014-138450</t>
  </si>
  <si>
    <t>CA-2014-149538</t>
  </si>
  <si>
    <t>CA-2014-160766</t>
  </si>
  <si>
    <t>CA-2014-141796</t>
  </si>
  <si>
    <t>US-2014-121566</t>
  </si>
  <si>
    <t>CA-2014-111192</t>
  </si>
  <si>
    <t>CA-2014-121006</t>
  </si>
  <si>
    <t>CA-2014-101560</t>
  </si>
  <si>
    <t>CA-2014-159709</t>
  </si>
  <si>
    <t>CA-2014-140487</t>
  </si>
  <si>
    <t>US-2014-147648</t>
  </si>
  <si>
    <t>CA-2014-115084</t>
  </si>
  <si>
    <t>CA-2014-166744</t>
  </si>
  <si>
    <t>US-2014-131982</t>
  </si>
  <si>
    <t>CA-2014-105165</t>
  </si>
  <si>
    <t>CA-2014-113859</t>
  </si>
  <si>
    <t>CA-2014-159681</t>
  </si>
  <si>
    <t>CA-2014-133424</t>
  </si>
  <si>
    <t>CA-2014-146283</t>
  </si>
  <si>
    <t>US-2014-139500</t>
  </si>
  <si>
    <t>US-2014-166310</t>
  </si>
  <si>
    <t>CA-2014-130813</t>
  </si>
  <si>
    <t>CA-2014-103331</t>
  </si>
  <si>
    <t>US-2014-168501</t>
  </si>
  <si>
    <t>CA-2014-113768</t>
  </si>
  <si>
    <t>CA-2014-150490</t>
  </si>
  <si>
    <t>CA-2014-123477</t>
  </si>
  <si>
    <t>CA-2014-125542</t>
  </si>
  <si>
    <t>US-2014-123183</t>
  </si>
  <si>
    <t>CA-2014-104829</t>
  </si>
  <si>
    <t>CA-2014-132542</t>
  </si>
  <si>
    <t>CA-2014-136861</t>
  </si>
  <si>
    <t>CA-2014-103317</t>
  </si>
  <si>
    <t>US-2014-119081</t>
  </si>
  <si>
    <t>US-2014-107405</t>
  </si>
  <si>
    <t>CA-2014-146591</t>
  </si>
  <si>
    <t>CA-2014-107706</t>
  </si>
  <si>
    <t>CA-2014-132451</t>
  </si>
  <si>
    <t>CA-2014-101770</t>
  </si>
  <si>
    <t>CA-2014-107573</t>
  </si>
  <si>
    <t>CA-2014-105249</t>
  </si>
  <si>
    <t>US-2014-137680</t>
  </si>
  <si>
    <t>CA-2014-159800</t>
  </si>
  <si>
    <t>US-2014-159618</t>
  </si>
  <si>
    <t>CA-2014-151162</t>
  </si>
  <si>
    <t>CA-2014-116673</t>
  </si>
  <si>
    <t>CA-2014-168158</t>
  </si>
  <si>
    <t>CA-2014-164742</t>
  </si>
  <si>
    <t>CA-2014-108903</t>
  </si>
  <si>
    <t>CA-2014-126683</t>
  </si>
  <si>
    <t>CA-2014-127614</t>
  </si>
  <si>
    <t>CA-2014-154893</t>
  </si>
  <si>
    <t>CA-2014-147900</t>
  </si>
  <si>
    <t>US-2014-134187</t>
  </si>
  <si>
    <t>CA-2014-135993</t>
  </si>
  <si>
    <t>CA-2014-126802</t>
  </si>
  <si>
    <t>CA-2014-164315</t>
  </si>
  <si>
    <t>CA-2014-131541</t>
  </si>
  <si>
    <t>US-2014-123519</t>
  </si>
  <si>
    <t>CA-2014-155593</t>
  </si>
  <si>
    <t>US-2014-143707</t>
  </si>
  <si>
    <t>CA-2014-103191</t>
  </si>
  <si>
    <t>CA-2014-111773</t>
  </si>
  <si>
    <t>CA-2014-148614</t>
  </si>
  <si>
    <t>CA-2014-145800</t>
  </si>
  <si>
    <t>CA-2014-163748</t>
  </si>
  <si>
    <t>US-2014-126340</t>
  </si>
  <si>
    <t>CA-2014-105270</t>
  </si>
  <si>
    <t>CA-2014-124856</t>
  </si>
  <si>
    <t>CA-2014-166716</t>
  </si>
  <si>
    <t>CA-2014-123225</t>
  </si>
  <si>
    <t>CA-2014-124730</t>
  </si>
  <si>
    <t>CA-2014-115056</t>
  </si>
  <si>
    <t>US-2014-138835</t>
  </si>
  <si>
    <t>US-2014-117968</t>
  </si>
  <si>
    <t>CA-2014-152443</t>
  </si>
  <si>
    <t>US-2014-109456</t>
  </si>
  <si>
    <t>CA-2014-168305</t>
  </si>
  <si>
    <t>CA-2014-120432</t>
  </si>
  <si>
    <t>US-2014-118997</t>
  </si>
  <si>
    <t>CA-2014-114314</t>
  </si>
  <si>
    <t>CA-2014-104178</t>
  </si>
  <si>
    <t>US-2014-105151</t>
  </si>
  <si>
    <t>CA-2014-155796</t>
  </si>
  <si>
    <t>CA-2014-140732</t>
  </si>
  <si>
    <t>CA-2014-141726</t>
  </si>
  <si>
    <t>CA-2014-117765</t>
  </si>
  <si>
    <t>US-2014-112991</t>
  </si>
  <si>
    <t>CA-2014-124079</t>
  </si>
  <si>
    <t>CA-2014-102652</t>
  </si>
  <si>
    <t>CA-2014-152422</t>
  </si>
  <si>
    <t>CA-2014-130869</t>
  </si>
  <si>
    <t>CA-2014-107524</t>
  </si>
  <si>
    <t>CA-2014-138072</t>
  </si>
  <si>
    <t>US-2014-165589</t>
  </si>
  <si>
    <t>CA-2014-120852</t>
  </si>
  <si>
    <t>US-2014-158400</t>
  </si>
  <si>
    <t>CA-2014-163447</t>
  </si>
  <si>
    <t>CA-2014-131247</t>
  </si>
  <si>
    <t>CA-2014-133543</t>
  </si>
  <si>
    <t>CA-2014-111871</t>
  </si>
  <si>
    <t>CA-2014-103989</t>
  </si>
  <si>
    <t>CA-2014-101266</t>
  </si>
  <si>
    <t>US-2014-106299</t>
  </si>
  <si>
    <t>CA-2014-128538</t>
  </si>
  <si>
    <t>CA-2014-148782</t>
  </si>
  <si>
    <t>CA-2014-134621</t>
  </si>
  <si>
    <t>CA-2014-101147</t>
  </si>
  <si>
    <t>CA-2014-165806</t>
  </si>
  <si>
    <t>CA-2014-146731</t>
  </si>
  <si>
    <t>CA-2014-100090</t>
  </si>
  <si>
    <t>CA-2014-141152</t>
  </si>
  <si>
    <t>CA-2014-141313</t>
  </si>
  <si>
    <t>CA-2014-169852</t>
  </si>
  <si>
    <t>US-2014-161305</t>
  </si>
  <si>
    <t>CA-2014-112837</t>
  </si>
  <si>
    <t>CA-2014-100762</t>
  </si>
  <si>
    <t>CA-2014-123316</t>
  </si>
  <si>
    <t>CA-2014-141299</t>
  </si>
  <si>
    <t>CA-2014-104402</t>
  </si>
  <si>
    <t>CA-2014-167927</t>
  </si>
  <si>
    <t>CA-2014-133305</t>
  </si>
  <si>
    <t>CA-2014-110611</t>
  </si>
  <si>
    <t>US-2014-107993</t>
  </si>
  <si>
    <t>CA-2014-107811</t>
  </si>
  <si>
    <t>US-2014-163797</t>
  </si>
  <si>
    <t>CA-2014-134103</t>
  </si>
  <si>
    <t>CA-2014-159121</t>
  </si>
  <si>
    <t>CA-2014-165764</t>
  </si>
  <si>
    <t>CA-2014-166891</t>
  </si>
  <si>
    <t>CA-2014-110065</t>
  </si>
  <si>
    <t>CA-2014-151897</t>
  </si>
  <si>
    <t>CA-2014-149524</t>
  </si>
  <si>
    <t>CA-2014-149594</t>
  </si>
  <si>
    <t>CA-2014-129147</t>
  </si>
  <si>
    <t>CA-2014-146864</t>
  </si>
  <si>
    <t>CA-2014-103744</t>
  </si>
  <si>
    <t>CA-2014-128209</t>
  </si>
  <si>
    <t>CA-2014-169684</t>
  </si>
  <si>
    <t>CA-2014-113880</t>
  </si>
  <si>
    <t>CA-2014-137092</t>
  </si>
  <si>
    <t>CA-2014-166086</t>
  </si>
  <si>
    <t>CA-2014-100678</t>
  </si>
  <si>
    <t>CA-2014-103660</t>
  </si>
  <si>
    <t>CA-2014-164749</t>
  </si>
  <si>
    <t>CA-2014-169257</t>
  </si>
  <si>
    <t>CA-2014-154095</t>
  </si>
  <si>
    <t>CA-2014-130449</t>
  </si>
  <si>
    <t>CA-2014-145541</t>
  </si>
  <si>
    <t>CA-2014-138513</t>
  </si>
  <si>
    <t>CA-2014-108609</t>
  </si>
  <si>
    <t>CA-2014-154837</t>
  </si>
  <si>
    <t>CA-2014-150329</t>
  </si>
  <si>
    <t>CA-2014-109134</t>
  </si>
  <si>
    <t>CA-2014-167724</t>
  </si>
  <si>
    <t>CA-2014-120096</t>
  </si>
  <si>
    <t>CA-2014-144029</t>
  </si>
  <si>
    <t>CA-2014-109302</t>
  </si>
  <si>
    <t>CA-2014-141005</t>
  </si>
  <si>
    <t>CA-2014-152233</t>
  </si>
  <si>
    <t>CA-2014-125682</t>
  </si>
  <si>
    <t>CA-2014-144414</t>
  </si>
  <si>
    <t>CA-2014-147543</t>
  </si>
  <si>
    <t>CA-2014-101462</t>
  </si>
  <si>
    <t>CA-2014-124394</t>
  </si>
  <si>
    <t>CA-2014-126277</t>
  </si>
  <si>
    <t>CA-2014-142510</t>
  </si>
  <si>
    <t>CA-2014-124247</t>
  </si>
  <si>
    <t>CA-2014-164182</t>
  </si>
  <si>
    <t>CA-2014-126963</t>
  </si>
  <si>
    <t>CA-2014-148369</t>
  </si>
  <si>
    <t>CA-2014-146990</t>
  </si>
  <si>
    <t>CA-2014-133158</t>
  </si>
  <si>
    <t>CA-2014-126333</t>
  </si>
  <si>
    <t>CA-2014-119466</t>
  </si>
  <si>
    <t>US-2014-135881</t>
  </si>
  <si>
    <t>CA-2014-114790</t>
  </si>
  <si>
    <t>CA-2014-124737</t>
  </si>
  <si>
    <t>CA-2014-124618</t>
  </si>
  <si>
    <t>CA-2014-150581</t>
  </si>
  <si>
    <t>CA-2014-141355</t>
  </si>
  <si>
    <t>CA-2014-106726</t>
  </si>
  <si>
    <t>CA-2014-141901</t>
  </si>
  <si>
    <t>CA-2014-159625</t>
  </si>
  <si>
    <t>CA-2014-117478</t>
  </si>
  <si>
    <t>CA-2014-143168</t>
  </si>
  <si>
    <t>US-2014-147774</t>
  </si>
  <si>
    <t>CA-2014-122217</t>
  </si>
  <si>
    <t>CA-2014-137911</t>
  </si>
  <si>
    <t>CA-2014-138709</t>
  </si>
  <si>
    <t>CA-2014-122070</t>
  </si>
  <si>
    <t>CA-2014-117464</t>
  </si>
  <si>
    <t>CA-2014-106054</t>
  </si>
  <si>
    <t>CA-2014-116785</t>
  </si>
  <si>
    <t>CA-2014-118276</t>
  </si>
  <si>
    <t>CA-2014-157546</t>
  </si>
  <si>
    <t>CA-2014-138737</t>
  </si>
  <si>
    <t>US-2014-127978</t>
  </si>
  <si>
    <t>US-2014-143721</t>
  </si>
  <si>
    <t>CA-2014-120670</t>
  </si>
  <si>
    <t>CA-2014-158281</t>
  </si>
  <si>
    <t>CA-2014-111899</t>
  </si>
  <si>
    <t>CA-2014-163468</t>
  </si>
  <si>
    <t>CA-2014-137274</t>
  </si>
  <si>
    <t>US-2014-131275</t>
  </si>
  <si>
    <t>CA-2014-163412</t>
  </si>
  <si>
    <t>CA-2014-116190</t>
  </si>
  <si>
    <t>CA-2014-168473</t>
  </si>
  <si>
    <t>CA-2014-130421</t>
  </si>
  <si>
    <t>US-2014-115189</t>
  </si>
  <si>
    <t>CA-2014-107769</t>
  </si>
  <si>
    <t>CA-2014-132787</t>
  </si>
  <si>
    <t>CA-2014-141649</t>
  </si>
  <si>
    <t>CA-2014-124807</t>
  </si>
  <si>
    <t>CA-2014-121769</t>
  </si>
  <si>
    <t>CA-2014-103058</t>
  </si>
  <si>
    <t>US-2014-164763</t>
  </si>
  <si>
    <t>CA-2014-161249</t>
  </si>
  <si>
    <t>CA-2014-165568</t>
  </si>
  <si>
    <t>CA-2014-109932</t>
  </si>
  <si>
    <t>CA-2014-138100</t>
  </si>
  <si>
    <t>CA-2014-167199</t>
  </si>
  <si>
    <t>CA-2014-113964</t>
  </si>
  <si>
    <t>CA-2014-129938</t>
  </si>
  <si>
    <t>CA-2014-115889</t>
  </si>
  <si>
    <t>CA-2014-125731</t>
  </si>
  <si>
    <t>CA-2014-103492</t>
  </si>
  <si>
    <t>CA-2014-140396</t>
  </si>
  <si>
    <t>CA-2014-114181</t>
  </si>
  <si>
    <t>US-2014-137155</t>
  </si>
  <si>
    <t>CA-2014-133830</t>
  </si>
  <si>
    <t>CA-2014-100916</t>
  </si>
  <si>
    <t>CA-2014-134726</t>
  </si>
  <si>
    <t>CA-2014-163223</t>
  </si>
  <si>
    <t>CA-2014-131947</t>
  </si>
  <si>
    <t>CA-2014-133354</t>
  </si>
  <si>
    <t>CA-2014-148425</t>
  </si>
  <si>
    <t>US-2014-144078</t>
  </si>
  <si>
    <t>CA-2014-124464</t>
  </si>
  <si>
    <t>CA-2014-162089</t>
  </si>
  <si>
    <t>US-2014-115196</t>
  </si>
  <si>
    <t>US-2014-120740</t>
  </si>
  <si>
    <t>CA-2014-105417</t>
  </si>
  <si>
    <t>CA-2014-151967</t>
  </si>
  <si>
    <t>CA-2014-142951</t>
  </si>
  <si>
    <t>CA-2014-133592</t>
  </si>
  <si>
    <t>CA-2014-102330</t>
  </si>
  <si>
    <t>CA-2014-139542</t>
  </si>
  <si>
    <t>CA-2014-150203</t>
  </si>
  <si>
    <t>CA-2014-105872</t>
  </si>
  <si>
    <t>CA-2014-154781</t>
  </si>
  <si>
    <t>CA-2014-155390</t>
  </si>
  <si>
    <t>CA-2014-166961</t>
  </si>
  <si>
    <t>US-2014-111353</t>
  </si>
  <si>
    <t>CA-2014-143637</t>
  </si>
  <si>
    <t>US-2014-115413</t>
  </si>
  <si>
    <t>CA-2014-125150</t>
  </si>
  <si>
    <t>US-2014-137869</t>
  </si>
  <si>
    <t>Iowa</t>
  </si>
  <si>
    <t>CA-2014-158470</t>
  </si>
  <si>
    <t>CA-2014-169649</t>
  </si>
  <si>
    <t>CA-2014-103429</t>
  </si>
  <si>
    <t>CA-2014-100972</t>
  </si>
  <si>
    <t>CA-2014-131009</t>
  </si>
  <si>
    <t>CA-2014-138359</t>
  </si>
  <si>
    <t>CA-2014-166051</t>
  </si>
  <si>
    <t>CA-2014-103800</t>
  </si>
  <si>
    <t>CA-2014-113383</t>
  </si>
  <si>
    <t>US-2014-148194</t>
  </si>
  <si>
    <t>CA-2014-143210</t>
  </si>
  <si>
    <t>CA-2014-127859</t>
  </si>
  <si>
    <t>US-2014-131870</t>
  </si>
  <si>
    <t>CA-2014-129189</t>
  </si>
  <si>
    <t>CA-2014-144974</t>
  </si>
  <si>
    <t>CA-2014-109904</t>
  </si>
  <si>
    <t>CA-2014-101392</t>
  </si>
  <si>
    <t>CA-2014-138128</t>
  </si>
  <si>
    <t>CA-2014-127866</t>
  </si>
  <si>
    <t>CA-2014-103219</t>
  </si>
  <si>
    <t>US-2014-112949</t>
  </si>
  <si>
    <t>CA-2014-167997</t>
  </si>
  <si>
    <t>CA-2014-114125</t>
  </si>
  <si>
    <t>CA-2014-120775</t>
  </si>
  <si>
    <t>CA-2014-152905</t>
  </si>
  <si>
    <t>CA-2014-158225</t>
  </si>
  <si>
    <t>CA-2014-109855</t>
  </si>
  <si>
    <t>CA-2014-109897</t>
  </si>
  <si>
    <t>US-2014-143581</t>
  </si>
  <si>
    <t>CA-2014-131800</t>
  </si>
  <si>
    <t>CA-2014-118304</t>
  </si>
  <si>
    <t>CA-2014-156244</t>
  </si>
  <si>
    <t>US-2014-103338</t>
  </si>
  <si>
    <t>US-2014-120313</t>
  </si>
  <si>
    <t>CA-2014-168312</t>
  </si>
  <si>
    <t>CA-2014-161508</t>
  </si>
  <si>
    <t>CA-2014-153087</t>
  </si>
  <si>
    <t>CA-2014-161634</t>
  </si>
  <si>
    <t>US-2014-155544</t>
  </si>
  <si>
    <t>CA-2014-110555</t>
  </si>
  <si>
    <t>CA-2014-109918</t>
  </si>
  <si>
    <t>CA-2014-165393</t>
  </si>
  <si>
    <t>CA-2014-103527</t>
  </si>
  <si>
    <t>CA-2014-139423</t>
  </si>
  <si>
    <t>CA-2014-152254</t>
  </si>
  <si>
    <t>US-2014-120236</t>
  </si>
  <si>
    <t>US-2014-113124</t>
  </si>
  <si>
    <t>US-2014-127635</t>
  </si>
  <si>
    <t>CA-2014-108861</t>
  </si>
  <si>
    <t>CA-2014-131387</t>
  </si>
  <si>
    <t>CA-2014-126200</t>
  </si>
  <si>
    <t>CA-2014-146500</t>
  </si>
  <si>
    <t>CA-2014-100881</t>
  </si>
  <si>
    <t>CA-2014-109890</t>
  </si>
  <si>
    <t>CA-2014-169061</t>
  </si>
  <si>
    <t>CA-2014-164903</t>
  </si>
  <si>
    <t>US-2014-163146</t>
  </si>
  <si>
    <t>CA-2014-137575</t>
  </si>
  <si>
    <t>CA-2014-140473</t>
  </si>
  <si>
    <t>CA-2014-121629</t>
  </si>
  <si>
    <t>CA-2014-159849</t>
  </si>
  <si>
    <t>CA-2014-130673</t>
  </si>
  <si>
    <t>CA-2014-104808</t>
  </si>
  <si>
    <t>CA-2014-111934</t>
  </si>
  <si>
    <t>CA-2014-141110</t>
  </si>
  <si>
    <t>US-2014-133949</t>
  </si>
  <si>
    <t>CA-2014-151946</t>
  </si>
  <si>
    <t>CA-2014-160094</t>
  </si>
  <si>
    <t>CA-2014-129819</t>
  </si>
  <si>
    <t>CA-2014-142769</t>
  </si>
  <si>
    <t>US-2014-159611</t>
  </si>
  <si>
    <t>CA-2014-133634</t>
  </si>
  <si>
    <t>CA-2014-101427</t>
  </si>
  <si>
    <t>US-2014-112795</t>
  </si>
  <si>
    <t>US-2014-132745</t>
  </si>
  <si>
    <t>CA-2014-146815</t>
  </si>
  <si>
    <t>CA-2014-119144</t>
  </si>
  <si>
    <t>CA-2014-105648</t>
  </si>
  <si>
    <t>US-2014-169390</t>
  </si>
  <si>
    <t>CA-2014-162992</t>
  </si>
  <si>
    <t>CA-2014-116666</t>
  </si>
  <si>
    <t>CA-2014-157644</t>
  </si>
  <si>
    <t>US-2014-157847</t>
  </si>
  <si>
    <t>CA-2014-109680</t>
  </si>
  <si>
    <t>CA-2014-153808</t>
  </si>
  <si>
    <t>CA-2014-141173</t>
  </si>
  <si>
    <t>CA-2014-119977</t>
  </si>
  <si>
    <t>CA-2014-120411</t>
  </si>
  <si>
    <t>US-2014-105137</t>
  </si>
  <si>
    <t>CA-2014-107398</t>
  </si>
  <si>
    <t>CA-2014-169642</t>
  </si>
  <si>
    <t>CA-2014-124723</t>
  </si>
  <si>
    <t>CA-2014-160276</t>
  </si>
  <si>
    <t>CA-2014-132983</t>
  </si>
  <si>
    <t>CA-2014-130918</t>
  </si>
  <si>
    <t>CA-2014-154592</t>
  </si>
  <si>
    <t>CA-2014-128622</t>
  </si>
  <si>
    <t>CA-2014-132913</t>
  </si>
  <si>
    <t>CA-2014-156790</t>
  </si>
  <si>
    <t>CA-2014-126480</t>
  </si>
  <si>
    <t>CA-2014-166730</t>
  </si>
  <si>
    <t>US-2014-149034</t>
  </si>
  <si>
    <t>CA-2014-119529</t>
  </si>
  <si>
    <t>CA-2014-108182</t>
  </si>
  <si>
    <t>CA-2014-109043</t>
  </si>
  <si>
    <t>CA-2014-133389</t>
  </si>
  <si>
    <t>CA-2014-103807</t>
  </si>
  <si>
    <t>CA-2014-100706</t>
  </si>
  <si>
    <t>CA-2014-138198</t>
  </si>
  <si>
    <t>CA-2014-152268</t>
  </si>
  <si>
    <t>CA-2014-138177</t>
  </si>
  <si>
    <t>CA-2014-114335</t>
  </si>
  <si>
    <t>CA-2014-124513</t>
  </si>
  <si>
    <t>CA-2014-141838</t>
  </si>
  <si>
    <t>US-2014-151015</t>
  </si>
  <si>
    <t>CA-2014-136336</t>
  </si>
  <si>
    <t>US-2014-124625</t>
  </si>
  <si>
    <t>US-2014-158365</t>
  </si>
  <si>
    <t>CA-2014-132010</t>
  </si>
  <si>
    <t>CA-2014-123400</t>
  </si>
  <si>
    <t>CA-2014-106971</t>
  </si>
  <si>
    <t>US-2014-157070</t>
  </si>
  <si>
    <t>CA-2014-102645</t>
  </si>
  <si>
    <t>CA-2014-134215</t>
  </si>
  <si>
    <t>Maine</t>
  </si>
  <si>
    <t>CA-2014-146843</t>
  </si>
  <si>
    <t>CA-2014-103310</t>
  </si>
  <si>
    <t>CA-2014-144071</t>
  </si>
  <si>
    <t>CA-2014-153619</t>
  </si>
  <si>
    <t>CA-2014-148383</t>
  </si>
  <si>
    <t>CA-2014-113271</t>
  </si>
  <si>
    <t>CA-2014-168368</t>
  </si>
  <si>
    <t>CA-2014-125759</t>
  </si>
  <si>
    <t>US-2014-134054</t>
  </si>
  <si>
    <t>CA-2014-161032</t>
  </si>
  <si>
    <t>CA-2014-111857</t>
  </si>
  <si>
    <t>CA-2014-163650</t>
  </si>
  <si>
    <t>CA-2014-128237</t>
  </si>
  <si>
    <t>CA-2014-155264</t>
  </si>
  <si>
    <t>US-2014-166828</t>
  </si>
  <si>
    <t>CA-2014-108147</t>
  </si>
  <si>
    <t>CA-2014-154158</t>
  </si>
  <si>
    <t>CA-2014-125997</t>
  </si>
  <si>
    <t>CA-2014-159814</t>
  </si>
  <si>
    <t>CA-2014-152618</t>
  </si>
  <si>
    <t>CA-2014-148285</t>
  </si>
  <si>
    <t>CA-2014-145254</t>
  </si>
  <si>
    <t>CA-2014-116246</t>
  </si>
  <si>
    <t>CA-2014-167486</t>
  </si>
  <si>
    <t>CA-2014-152100</t>
  </si>
  <si>
    <t>US-2014-154655</t>
  </si>
  <si>
    <t>CA-2014-100391</t>
  </si>
  <si>
    <t>CA-2014-165477</t>
  </si>
  <si>
    <t>CA-2014-140032</t>
  </si>
  <si>
    <t>CA-2014-138240</t>
  </si>
  <si>
    <t>CA-2014-101833</t>
  </si>
  <si>
    <t>CA-2014-100867</t>
  </si>
  <si>
    <t>CA-2014-156545</t>
  </si>
  <si>
    <t>CA-2014-109127</t>
  </si>
  <si>
    <t>CA-2014-126193</t>
  </si>
  <si>
    <t>CA-2014-122679</t>
  </si>
  <si>
    <t>CA-2014-149104</t>
  </si>
  <si>
    <t>CA-2014-130575</t>
  </si>
  <si>
    <t>CA-2014-100293</t>
  </si>
  <si>
    <t>CA-2014-154165</t>
  </si>
  <si>
    <t>CA-2014-169446</t>
  </si>
  <si>
    <t>CA-2014-166590</t>
  </si>
  <si>
    <t>CA-2014-103086</t>
  </si>
  <si>
    <t>CA-2014-130428</t>
  </si>
  <si>
    <t>CA-2014-119172</t>
  </si>
  <si>
    <t>CA-2014-130155</t>
  </si>
  <si>
    <t>CA-2014-128524</t>
  </si>
  <si>
    <t>CA-2014-115133</t>
  </si>
  <si>
    <t>CA-2014-139283</t>
  </si>
  <si>
    <t>CA-2014-118192</t>
  </si>
  <si>
    <t>CA-2014-151330</t>
  </si>
  <si>
    <t>CA-2014-124702</t>
  </si>
  <si>
    <t>CA-2014-104563</t>
  </si>
  <si>
    <t>CA-2014-150518</t>
  </si>
  <si>
    <t>CA-2014-156160</t>
  </si>
  <si>
    <t>CA-2014-100860</t>
  </si>
  <si>
    <t>US-2014-164644</t>
  </si>
  <si>
    <t>US-2014-120175</t>
  </si>
  <si>
    <t>CA-2014-144281</t>
  </si>
  <si>
    <t>CA-2014-114251</t>
  </si>
  <si>
    <t>CA-2014-101364</t>
  </si>
  <si>
    <t>CA-2014-111962</t>
  </si>
  <si>
    <t>CA-2014-114321</t>
  </si>
  <si>
    <t>CA-2014-128062</t>
  </si>
  <si>
    <t>US-2014-140914</t>
  </si>
  <si>
    <t>CA-2014-121762</t>
  </si>
  <si>
    <t>CA-2014-123855</t>
  </si>
  <si>
    <t>CA-2014-169019</t>
  </si>
  <si>
    <t>US-2014-114377</t>
  </si>
  <si>
    <t>CA-2014-127166</t>
  </si>
  <si>
    <t>US-2014-139640</t>
  </si>
  <si>
    <t>US-2014-164406</t>
  </si>
  <si>
    <t>CA-2014-113257</t>
  </si>
  <si>
    <t>CA-2014-133963</t>
  </si>
  <si>
    <t>CA-2014-163867</t>
  </si>
  <si>
    <t>CA-2014-142979</t>
  </si>
  <si>
    <t>CA-2014-120950</t>
  </si>
  <si>
    <t>CA-2014-114195</t>
  </si>
  <si>
    <t>CA-2014-153927</t>
  </si>
  <si>
    <t>CA-2014-112291</t>
  </si>
  <si>
    <t>CA-2014-146997</t>
  </si>
  <si>
    <t>CA-2014-115049</t>
  </si>
  <si>
    <t>CA-2014-156342</t>
  </si>
  <si>
    <t>US-2014-117380</t>
  </si>
  <si>
    <t>CA-2014-122609</t>
  </si>
  <si>
    <t>US-2014-157231</t>
  </si>
  <si>
    <t>CA-2014-111360</t>
  </si>
  <si>
    <t>CA-2014-166555</t>
  </si>
  <si>
    <t>CA-2014-143371</t>
  </si>
  <si>
    <t>CA-2014-111157</t>
  </si>
  <si>
    <t>US-2014-143287</t>
  </si>
  <si>
    <t>CA-2014-110422</t>
  </si>
  <si>
    <t>US-2015-108966</t>
  </si>
  <si>
    <t>Sean O'Donnell</t>
  </si>
  <si>
    <t>US-2015-118983</t>
  </si>
  <si>
    <t>Harold Pawlan</t>
  </si>
  <si>
    <t>CA-2015-106320</t>
  </si>
  <si>
    <t>Emily Burns</t>
  </si>
  <si>
    <t>US-2015-150630</t>
  </si>
  <si>
    <t>Tracy Blumstein</t>
  </si>
  <si>
    <t>CA-2015-117415</t>
  </si>
  <si>
    <t>Steve Nguyen</t>
  </si>
  <si>
    <t>CA-2015-115742</t>
  </si>
  <si>
    <t>Darren Powers</t>
  </si>
  <si>
    <t>CA-2015-135545</t>
  </si>
  <si>
    <t>Kunst Miller</t>
  </si>
  <si>
    <t>US-2015-164175</t>
  </si>
  <si>
    <t>Paul Stevenson</t>
  </si>
  <si>
    <t>US-2015-134026</t>
  </si>
  <si>
    <t>Joel Eaton</t>
  </si>
  <si>
    <t>CA-2015-149734</t>
  </si>
  <si>
    <t>Julie Creighton</t>
  </si>
  <si>
    <t>CA-2015-149587</t>
  </si>
  <si>
    <t>Karl Braun</t>
  </si>
  <si>
    <t>US-2015-156867</t>
  </si>
  <si>
    <t>Lena Cacioppo</t>
  </si>
  <si>
    <t>CA-2015-129476</t>
  </si>
  <si>
    <t>Pete Armstrong</t>
  </si>
  <si>
    <t>CA-2015-110457</t>
  </si>
  <si>
    <t>Dave Kipp</t>
  </si>
  <si>
    <t>US-2015-136476</t>
  </si>
  <si>
    <t>Greg Guthrie</t>
  </si>
  <si>
    <t>CA-2015-110744</t>
  </si>
  <si>
    <t>Helen Andreada</t>
  </si>
  <si>
    <t>CA-2015-124919</t>
  </si>
  <si>
    <t>Stephanie Phelps</t>
  </si>
  <si>
    <t>CA-2015-118948</t>
  </si>
  <si>
    <t>Neil Knudson</t>
  </si>
  <si>
    <t>CA-2015-119697</t>
  </si>
  <si>
    <t>Eric Murdock</t>
  </si>
  <si>
    <t>US-2015-101511</t>
  </si>
  <si>
    <t>CA-2015-137225</t>
  </si>
  <si>
    <t>Jim Kriz</t>
  </si>
  <si>
    <t>CA-2015-102281</t>
  </si>
  <si>
    <t>Mark Packer</t>
  </si>
  <si>
    <t>CA-2015-131457</t>
  </si>
  <si>
    <t>Mary Zewe</t>
  </si>
  <si>
    <t>CA-2015-101007</t>
  </si>
  <si>
    <t>Michael Stewart</t>
  </si>
  <si>
    <t>CA-2015-146262</t>
  </si>
  <si>
    <t>Victoria Wilson</t>
  </si>
  <si>
    <t>CA-2015-169397</t>
  </si>
  <si>
    <t>Joni Blumstein</t>
  </si>
  <si>
    <t>CA-2015-163055</t>
  </si>
  <si>
    <t>David Smith</t>
  </si>
  <si>
    <t>US-2015-145436</t>
  </si>
  <si>
    <t>Valerie Dominguez</t>
  </si>
  <si>
    <t>US-2015-159982</t>
  </si>
  <si>
    <t>Dan Reichenbach</t>
  </si>
  <si>
    <t>CA-2015-155040</t>
  </si>
  <si>
    <t>Alan Hwang</t>
  </si>
  <si>
    <t>CA-2015-155334</t>
  </si>
  <si>
    <t>US-2015-161991</t>
  </si>
  <si>
    <t>Steven Cartwright</t>
  </si>
  <si>
    <t>CA-2015-130890</t>
  </si>
  <si>
    <t>Jas O'Carroll</t>
  </si>
  <si>
    <t>CA-2015-130883</t>
  </si>
  <si>
    <t>CA-2015-144253</t>
  </si>
  <si>
    <t>Alan Schoenberger</t>
  </si>
  <si>
    <t>CA-2015-137946</t>
  </si>
  <si>
    <t>Doug Bickford</t>
  </si>
  <si>
    <t>CA-2015-128167</t>
  </si>
  <si>
    <t>Ken Lonsdale</t>
  </si>
  <si>
    <t>US-2015-120712</t>
  </si>
  <si>
    <t>Chad Sievert</t>
  </si>
  <si>
    <t>CA-2015-130792</t>
  </si>
  <si>
    <t>Russell Applegate</t>
  </si>
  <si>
    <t>CA-2015-125395</t>
  </si>
  <si>
    <t>Laura Armstrong</t>
  </si>
  <si>
    <t>US-2015-168935</t>
  </si>
  <si>
    <t>Denny Ordway</t>
  </si>
  <si>
    <t>CA-2015-122756</t>
  </si>
  <si>
    <t>Dean Katz</t>
  </si>
  <si>
    <t>CA-2015-122259</t>
  </si>
  <si>
    <t>CA-2015-109638</t>
  </si>
  <si>
    <t>Joseph Holt</t>
  </si>
  <si>
    <t>US-2015-101399</t>
  </si>
  <si>
    <t>Joni Sundaresam</t>
  </si>
  <si>
    <t>CA-2015-154144</t>
  </si>
  <si>
    <t>Maya Herman</t>
  </si>
  <si>
    <t>CA-2015-134782</t>
  </si>
  <si>
    <t>Maribeth Dona</t>
  </si>
  <si>
    <t>CA-2015-145352</t>
  </si>
  <si>
    <t>Christopher Martinez</t>
  </si>
  <si>
    <t>CA-2015-157812</t>
  </si>
  <si>
    <t>Dean Braden</t>
  </si>
  <si>
    <t>CA-2015-158792</t>
  </si>
  <si>
    <t>Brian Dahlen</t>
  </si>
  <si>
    <t>US-2015-138303</t>
  </si>
  <si>
    <t>Mike Gockenbach</t>
  </si>
  <si>
    <t>CA-2015-102848</t>
  </si>
  <si>
    <t>Karen Bern</t>
  </si>
  <si>
    <t>CA-2015-147851</t>
  </si>
  <si>
    <t>CA-2015-134894</t>
  </si>
  <si>
    <t>Darren Koutras</t>
  </si>
  <si>
    <t>US-2015-120161</t>
  </si>
  <si>
    <t>Liz MacKendrick</t>
  </si>
  <si>
    <t>CA-2015-113173</t>
  </si>
  <si>
    <t>CA-2015-130736</t>
  </si>
  <si>
    <t>Jeremy Farry</t>
  </si>
  <si>
    <t>CA-2015-149713</t>
  </si>
  <si>
    <t>Trudy Glocke</t>
  </si>
  <si>
    <t>CA-2015-132906</t>
  </si>
  <si>
    <t>Charles Crestani</t>
  </si>
  <si>
    <t>CA-2015-128139</t>
  </si>
  <si>
    <t>Bruce Degenhardt</t>
  </si>
  <si>
    <t>CA-2015-138009</t>
  </si>
  <si>
    <t>Sylvia Foulston</t>
  </si>
  <si>
    <t>CA-2015-168004</t>
  </si>
  <si>
    <t>Denny Joy</t>
  </si>
  <si>
    <t>CA-2015-146563</t>
  </si>
  <si>
    <t>Cassandra Brandow</t>
  </si>
  <si>
    <t>CA-2015-131534</t>
  </si>
  <si>
    <t>Alan Barnes</t>
  </si>
  <si>
    <t>CA-2015-119291</t>
  </si>
  <si>
    <t>Jesus Ocampo</t>
  </si>
  <si>
    <t>CA-2015-142027</t>
  </si>
  <si>
    <t>Jay Kimmel</t>
  </si>
  <si>
    <t>CA-2015-135272</t>
  </si>
  <si>
    <t>Melanie Seite</t>
  </si>
  <si>
    <t>CA-2015-112319</t>
  </si>
  <si>
    <t>Andrew Roberts</t>
  </si>
  <si>
    <t>CA-2015-114923</t>
  </si>
  <si>
    <t>Lisa Hazard</t>
  </si>
  <si>
    <t>CA-2015-144267</t>
  </si>
  <si>
    <t>Nick Zandusky</t>
  </si>
  <si>
    <t>US-2015-157014</t>
  </si>
  <si>
    <t>Bryan Mills</t>
  </si>
  <si>
    <t>CA-2015-154921</t>
  </si>
  <si>
    <t>Erin Ashbrook</t>
  </si>
  <si>
    <t>CA-2015-154620</t>
  </si>
  <si>
    <t>Liz Thompson</t>
  </si>
  <si>
    <t>CA-2015-115938</t>
  </si>
  <si>
    <t>Sue Ann Reed</t>
  </si>
  <si>
    <t>CA-2015-124653</t>
  </si>
  <si>
    <t>David Bremer</t>
  </si>
  <si>
    <t>CA-2015-101910</t>
  </si>
  <si>
    <t>Carlos Daly</t>
  </si>
  <si>
    <t>CA-2015-140921</t>
  </si>
  <si>
    <t>Allen Armold</t>
  </si>
  <si>
    <t>CA-2015-106565</t>
  </si>
  <si>
    <t>Bart Watters</t>
  </si>
  <si>
    <t>CA-2015-100454</t>
  </si>
  <si>
    <t>Brian Moss</t>
  </si>
  <si>
    <t>CA-2015-114300</t>
  </si>
  <si>
    <t>Art Foster</t>
  </si>
  <si>
    <t>CA-2015-131128</t>
  </si>
  <si>
    <t>CA-2015-129098</t>
  </si>
  <si>
    <t>CA-2015-143602</t>
  </si>
  <si>
    <t>Jill Stevenson</t>
  </si>
  <si>
    <t>CA-2015-133627</t>
  </si>
  <si>
    <t>Sample Company A</t>
  </si>
  <si>
    <t>CA-2015-111164</t>
  </si>
  <si>
    <t>Sanjit Engle</t>
  </si>
  <si>
    <t>CA-2015-115091</t>
  </si>
  <si>
    <t>Joel Jenkins</t>
  </si>
  <si>
    <t>CA-2015-148250</t>
  </si>
  <si>
    <t>Rachel Payne</t>
  </si>
  <si>
    <t>CA-2015-120880</t>
  </si>
  <si>
    <t>John Lucas</t>
  </si>
  <si>
    <t>US-2015-140200</t>
  </si>
  <si>
    <t>Cynthia Arntzen</t>
  </si>
  <si>
    <t>CA-2015-112571</t>
  </si>
  <si>
    <t>Daniel Lacy</t>
  </si>
  <si>
    <t>CA-2015-160059</t>
  </si>
  <si>
    <t>Thomas Brumley</t>
  </si>
  <si>
    <t>CA-2015-157035</t>
  </si>
  <si>
    <t>Ken Brennan</t>
  </si>
  <si>
    <t>CA-2015-146829</t>
  </si>
  <si>
    <t>Toby Swindell</t>
  </si>
  <si>
    <t>CA-2015-153549</t>
  </si>
  <si>
    <t>Sara Luxemburg</t>
  </si>
  <si>
    <t>CA-2015-162537</t>
  </si>
  <si>
    <t>Rob Dowd</t>
  </si>
  <si>
    <t>CA-2015-124891</t>
  </si>
  <si>
    <t>Rick Hansen</t>
  </si>
  <si>
    <t>CA-2015-126445</t>
  </si>
  <si>
    <t>Ryan Akin</t>
  </si>
  <si>
    <t>CA-2015-111199</t>
  </si>
  <si>
    <t>Joe Kamberova</t>
  </si>
  <si>
    <t>CA-2015-105312</t>
  </si>
  <si>
    <t>Meg Tillman</t>
  </si>
  <si>
    <t>US-2015-126214</t>
  </si>
  <si>
    <t>John Stevenson</t>
  </si>
  <si>
    <t>CA-2015-133025</t>
  </si>
  <si>
    <t>Meg O'Connel</t>
  </si>
  <si>
    <t>CA-2015-108665</t>
  </si>
  <si>
    <t>Kalyca Meade</t>
  </si>
  <si>
    <t>CA-2015-124450</t>
  </si>
  <si>
    <t>Greg Tran</t>
  </si>
  <si>
    <t>CA-2015-167269</t>
  </si>
  <si>
    <t>Philip Brown</t>
  </si>
  <si>
    <t>CA-2015-127418</t>
  </si>
  <si>
    <t>Jennifer Jackson</t>
  </si>
  <si>
    <t>US-2015-153500</t>
  </si>
  <si>
    <t>Deirdre Greer</t>
  </si>
  <si>
    <t>CA-2015-110667</t>
  </si>
  <si>
    <t>Nicole Fjeld</t>
  </si>
  <si>
    <t>US-2015-125374</t>
  </si>
  <si>
    <t>Julia Dunbar</t>
  </si>
  <si>
    <t>CA-2015-161263</t>
  </si>
  <si>
    <t>Theresa Swint</t>
  </si>
  <si>
    <t>US-2015-150161</t>
  </si>
  <si>
    <t>Ross Baird</t>
  </si>
  <si>
    <t>CA-2015-144652</t>
  </si>
  <si>
    <t>Skye Norling</t>
  </si>
  <si>
    <t>CA-2015-110016</t>
  </si>
  <si>
    <t>Bill Tyler</t>
  </si>
  <si>
    <t>CA-2015-143490</t>
  </si>
  <si>
    <t>Naresj Patel</t>
  </si>
  <si>
    <t>CA-2015-165085</t>
  </si>
  <si>
    <t>Brad Thomas</t>
  </si>
  <si>
    <t>CA-2015-142755</t>
  </si>
  <si>
    <t>Christine Sundaresam</t>
  </si>
  <si>
    <t>CA-2015-105970</t>
  </si>
  <si>
    <t>CA-2015-112452</t>
  </si>
  <si>
    <t>Nat Carroll</t>
  </si>
  <si>
    <t>CA-2015-113971</t>
  </si>
  <si>
    <t>Claudia Bergmann</t>
  </si>
  <si>
    <t>CA-2015-125416</t>
  </si>
  <si>
    <t>Kelly Collister</t>
  </si>
  <si>
    <t>US-2015-104430</t>
  </si>
  <si>
    <t>CA-2015-132080</t>
  </si>
  <si>
    <t>Dave Poirier</t>
  </si>
  <si>
    <t>US-2015-130519</t>
  </si>
  <si>
    <t>Nat Gilpin</t>
  </si>
  <si>
    <t>CA-2015-132570</t>
  </si>
  <si>
    <t>Kean Thornton</t>
  </si>
  <si>
    <t>CA-2015-154956</t>
  </si>
  <si>
    <t>Irene Maddox</t>
  </si>
  <si>
    <t>US-2015-149692</t>
  </si>
  <si>
    <t>Katrina Willman</t>
  </si>
  <si>
    <t>CA-2015-124268</t>
  </si>
  <si>
    <t>Alan Dominguez</t>
  </si>
  <si>
    <t>CA-2015-101707</t>
  </si>
  <si>
    <t>Philip Fox</t>
  </si>
  <si>
    <t>CA-2015-138898</t>
  </si>
  <si>
    <t>Justin Hirsh</t>
  </si>
  <si>
    <t>CA-2015-121391</t>
  </si>
  <si>
    <t>Alex Avila</t>
  </si>
  <si>
    <t>CA-2015-115847</t>
  </si>
  <si>
    <t>Tracy Collins</t>
  </si>
  <si>
    <t>CA-2015-120439</t>
  </si>
  <si>
    <t>CA-2015-131758</t>
  </si>
  <si>
    <t>US-2015-103471</t>
  </si>
  <si>
    <t>Jim Radford</t>
  </si>
  <si>
    <t>CA-2015-120362</t>
  </si>
  <si>
    <t>Christina Anderson</t>
  </si>
  <si>
    <t>CA-2015-126697</t>
  </si>
  <si>
    <t>Stuart Van</t>
  </si>
  <si>
    <t>CA-2015-124800</t>
  </si>
  <si>
    <t>Rick Wilson</t>
  </si>
  <si>
    <t>US-2015-164448</t>
  </si>
  <si>
    <t>Damala Kotsonis</t>
  </si>
  <si>
    <t>CA-2015-139731</t>
  </si>
  <si>
    <t>CA-2015-166135</t>
  </si>
  <si>
    <t>Shaun Chance</t>
  </si>
  <si>
    <t>CA-2015-145821</t>
  </si>
  <si>
    <t>Jennifer Braxton</t>
  </si>
  <si>
    <t>US-2015-160150</t>
  </si>
  <si>
    <t>Thais Sissman</t>
  </si>
  <si>
    <t>CA-2015-111297</t>
  </si>
  <si>
    <t>CA-2015-119907</t>
  </si>
  <si>
    <t>Logan Currie</t>
  </si>
  <si>
    <t>CA-2015-100769</t>
  </si>
  <si>
    <t>Tracy Hopkins</t>
  </si>
  <si>
    <t>US-2015-161466</t>
  </si>
  <si>
    <t>Odella Nelson</t>
  </si>
  <si>
    <t>US-2015-105676</t>
  </si>
  <si>
    <t>Neoma Murray</t>
  </si>
  <si>
    <t>CA-2015-140410</t>
  </si>
  <si>
    <t>Corinna Mitchell</t>
  </si>
  <si>
    <t>CA-2015-153388</t>
  </si>
  <si>
    <t>Pauline Chand</t>
  </si>
  <si>
    <t>CA-2015-144806</t>
  </si>
  <si>
    <t>Gary Hwang</t>
  </si>
  <si>
    <t>CA-2015-148432</t>
  </si>
  <si>
    <t>Mike Caudle</t>
  </si>
  <si>
    <t>CA-2015-103793</t>
  </si>
  <si>
    <t>Benjamin Venier</t>
  </si>
  <si>
    <t>CA-2015-111395</t>
  </si>
  <si>
    <t>Victoria Brennan</t>
  </si>
  <si>
    <t>CA-2015-111507</t>
  </si>
  <si>
    <t>CA-2015-112116</t>
  </si>
  <si>
    <t>Jeremy Ellison</t>
  </si>
  <si>
    <t>CA-2015-158554</t>
  </si>
  <si>
    <t>Charlotte Melton</t>
  </si>
  <si>
    <t>CA-2015-132101</t>
  </si>
  <si>
    <t>CA-2015-129112</t>
  </si>
  <si>
    <t>Anthony Witt</t>
  </si>
  <si>
    <t>CA-2015-131338</t>
  </si>
  <si>
    <t>CA-2015-122826</t>
  </si>
  <si>
    <t>Rick Duston</t>
  </si>
  <si>
    <t>CA-2015-118423</t>
  </si>
  <si>
    <t>Dennis Pardue</t>
  </si>
  <si>
    <t>CA-2015-130022</t>
  </si>
  <si>
    <t>Julie Kriz</t>
  </si>
  <si>
    <t>CA-2015-157084</t>
  </si>
  <si>
    <t>James Galang</t>
  </si>
  <si>
    <t>CA-2015-164539</t>
  </si>
  <si>
    <t>Philisse Overcash</t>
  </si>
  <si>
    <t>CA-2015-143119</t>
  </si>
  <si>
    <t>Marc Crier</t>
  </si>
  <si>
    <t>CA-2015-111829</t>
  </si>
  <si>
    <t>Fred Hopkins</t>
  </si>
  <si>
    <t>CA-2015-105221</t>
  </si>
  <si>
    <t>Valerie Mitchum</t>
  </si>
  <si>
    <t>CA-2015-120341</t>
  </si>
  <si>
    <t>Sarah Foster</t>
  </si>
  <si>
    <t>US-2015-157154</t>
  </si>
  <si>
    <t>Michael Moore</t>
  </si>
  <si>
    <t>CA-2015-150560</t>
  </si>
  <si>
    <t>Shaun Weien</t>
  </si>
  <si>
    <t>CA-2015-143077</t>
  </si>
  <si>
    <t>CA-2015-156335</t>
  </si>
  <si>
    <t>Phillina Ober</t>
  </si>
  <si>
    <t>CA-2015-148376</t>
  </si>
  <si>
    <t>Arthur Gainer</t>
  </si>
  <si>
    <t>CA-2015-114069</t>
  </si>
  <si>
    <t>Natalie DeCherney</t>
  </si>
  <si>
    <t>CA-2015-100545</t>
  </si>
  <si>
    <t>CA-2015-145401</t>
  </si>
  <si>
    <t>Jeremy Pistek</t>
  </si>
  <si>
    <t>US-2015-123218</t>
  </si>
  <si>
    <t>Katherine Ducich</t>
  </si>
  <si>
    <t>CA-2015-127453</t>
  </si>
  <si>
    <t>CA-2015-130204</t>
  </si>
  <si>
    <t>CA-2015-139094</t>
  </si>
  <si>
    <t>CA-2015-135622</t>
  </si>
  <si>
    <t>Tonja Turnell</t>
  </si>
  <si>
    <t>US-2015-107349</t>
  </si>
  <si>
    <t>CA-2015-130785</t>
  </si>
  <si>
    <t>CA-2015-105347</t>
  </si>
  <si>
    <t>CA-2015-111094</t>
  </si>
  <si>
    <t>CA-2015-154326</t>
  </si>
  <si>
    <t>Roy Phan</t>
  </si>
  <si>
    <t>CA-2015-131597</t>
  </si>
  <si>
    <t>Stefania Perrino</t>
  </si>
  <si>
    <t>CA-2015-164833</t>
  </si>
  <si>
    <t>Lauren Leatherbury</t>
  </si>
  <si>
    <t>CA-2015-125423</t>
  </si>
  <si>
    <t>Matt Collins</t>
  </si>
  <si>
    <t>US-2015-140851</t>
  </si>
  <si>
    <t>Neil Ducich</t>
  </si>
  <si>
    <t>CA-2015-131422</t>
  </si>
  <si>
    <t>George Bell</t>
  </si>
  <si>
    <t>CA-2015-135391</t>
  </si>
  <si>
    <t>Frank Atkinson</t>
  </si>
  <si>
    <t>CA-2015-160472</t>
  </si>
  <si>
    <t>Ralph Kennedy</t>
  </si>
  <si>
    <t>CA-2015-121608</t>
  </si>
  <si>
    <t>CA-2015-127110</t>
  </si>
  <si>
    <t>Cathy Hwang</t>
  </si>
  <si>
    <t>CA-2015-109512</t>
  </si>
  <si>
    <t>Luke Foster</t>
  </si>
  <si>
    <t>CA-2015-109197</t>
  </si>
  <si>
    <t>CA-2015-157959</t>
  </si>
  <si>
    <t>CA-2015-105634</t>
  </si>
  <si>
    <t>Helen Abelman</t>
  </si>
  <si>
    <t>CA-2015-123673</t>
  </si>
  <si>
    <t>CA-2015-125178</t>
  </si>
  <si>
    <t>CA-2015-141768</t>
  </si>
  <si>
    <t>Nora Pelletier</t>
  </si>
  <si>
    <t>CA-2015-109939</t>
  </si>
  <si>
    <t>CA-2015-119592</t>
  </si>
  <si>
    <t>Muhammed MacIntyre</t>
  </si>
  <si>
    <t>CA-2015-127509</t>
  </si>
  <si>
    <t>Adam Shillingsburg</t>
  </si>
  <si>
    <t>CA-2015-155761</t>
  </si>
  <si>
    <t>Stuart Calhoun</t>
  </si>
  <si>
    <t>CA-2015-113110</t>
  </si>
  <si>
    <t>Berenike Kampe</t>
  </si>
  <si>
    <t>CA-2015-114237</t>
  </si>
  <si>
    <t>CA-2015-117961</t>
  </si>
  <si>
    <t>Guy Phonely</t>
  </si>
  <si>
    <t>CA-2015-119214</t>
  </si>
  <si>
    <t>Carl Weiss</t>
  </si>
  <si>
    <t>CA-2015-122287</t>
  </si>
  <si>
    <t>CA-2015-104493</t>
  </si>
  <si>
    <t>Ed Braxton</t>
  </si>
  <si>
    <t>CA-2015-142237</t>
  </si>
  <si>
    <t>Clytie Kelty</t>
  </si>
  <si>
    <t>CA-2015-133452</t>
  </si>
  <si>
    <t>Zuschuss Carroll</t>
  </si>
  <si>
    <t>CA-2015-120103</t>
  </si>
  <si>
    <t>Maribeth Schnelling</t>
  </si>
  <si>
    <t>CA-2015-139290</t>
  </si>
  <si>
    <t>Maribeth Yedwab</t>
  </si>
  <si>
    <t>CA-2015-149678</t>
  </si>
  <si>
    <t>US-2015-164357</t>
  </si>
  <si>
    <t>Sandra Flanagan</t>
  </si>
  <si>
    <t>CA-2015-164882</t>
  </si>
  <si>
    <t>Sandra Glassco</t>
  </si>
  <si>
    <t>CA-2015-159786</t>
  </si>
  <si>
    <t>CA-2015-134859</t>
  </si>
  <si>
    <t>CA-2015-156524</t>
  </si>
  <si>
    <t>Dan Lawera</t>
  </si>
  <si>
    <t>CA-2015-122210</t>
  </si>
  <si>
    <t>William Brown</t>
  </si>
  <si>
    <t>CA-2015-156377</t>
  </si>
  <si>
    <t>Trudy Brown</t>
  </si>
  <si>
    <t>CA-2015-123505</t>
  </si>
  <si>
    <t>Andy Reiter</t>
  </si>
  <si>
    <t>CA-2015-132507</t>
  </si>
  <si>
    <t>Corey Catlett</t>
  </si>
  <si>
    <t>CA-2015-135363</t>
  </si>
  <si>
    <t>Chloris Kastensmidt</t>
  </si>
  <si>
    <t>CA-2015-138002</t>
  </si>
  <si>
    <t>Beth Thompson</t>
  </si>
  <si>
    <t>CA-2015-128860</t>
  </si>
  <si>
    <t>CA-2015-129854</t>
  </si>
  <si>
    <t>Roger Barcio</t>
  </si>
  <si>
    <t>CA-2015-131884</t>
  </si>
  <si>
    <t>Dennis Kane</t>
  </si>
  <si>
    <t>CA-2015-123232</t>
  </si>
  <si>
    <t>Doug Jacobs</t>
  </si>
  <si>
    <t>CA-2015-145849</t>
  </si>
  <si>
    <t>Carol Triggs</t>
  </si>
  <si>
    <t>CA-2015-116092</t>
  </si>
  <si>
    <t>Justin MacKendrick</t>
  </si>
  <si>
    <t>CA-2015-169201</t>
  </si>
  <si>
    <t>Henry Goldwyn</t>
  </si>
  <si>
    <t>CA-2015-117611</t>
  </si>
  <si>
    <t>Maria Zettner</t>
  </si>
  <si>
    <t>US-2015-137960</t>
  </si>
  <si>
    <t>Mitch Webber</t>
  </si>
  <si>
    <t>CA-2015-102036</t>
  </si>
  <si>
    <t>CA-2015-142944</t>
  </si>
  <si>
    <t>CA-2015-153108</t>
  </si>
  <si>
    <t>CA-2015-149342</t>
  </si>
  <si>
    <t>CA-2015-130995</t>
  </si>
  <si>
    <t>Quincy Jones</t>
  </si>
  <si>
    <t>CA-2015-113145</t>
  </si>
  <si>
    <t>CA-2015-160794</t>
  </si>
  <si>
    <t>CA-2015-117828</t>
  </si>
  <si>
    <t>Bradley Drucker</t>
  </si>
  <si>
    <t>CA-2015-109470</t>
  </si>
  <si>
    <t>Karen Carlisle</t>
  </si>
  <si>
    <t>CA-2015-105102</t>
  </si>
  <si>
    <t>Brendan Murry</t>
  </si>
  <si>
    <t>US-2015-147739</t>
  </si>
  <si>
    <t>Justin Deggeller</t>
  </si>
  <si>
    <t>CA-2015-111514</t>
  </si>
  <si>
    <t>Scott Cohen</t>
  </si>
  <si>
    <t>CA-2015-148628</t>
  </si>
  <si>
    <t>Katherine Murray</t>
  </si>
  <si>
    <t>CA-2015-145065</t>
  </si>
  <si>
    <t>US-2015-127040</t>
  </si>
  <si>
    <t>Speros Goranitis</t>
  </si>
  <si>
    <t>CA-2015-137897</t>
  </si>
  <si>
    <t>Patrick Jones</t>
  </si>
  <si>
    <t>CA-2015-142041</t>
  </si>
  <si>
    <t>Eleni McCrary</t>
  </si>
  <si>
    <t>CA-2015-146087</t>
  </si>
  <si>
    <t>Paul Prost</t>
  </si>
  <si>
    <t>CA-2015-154746</t>
  </si>
  <si>
    <t>CA-2015-100573</t>
  </si>
  <si>
    <t>Anne McFarland</t>
  </si>
  <si>
    <t>CA-2015-128027</t>
  </si>
  <si>
    <t>CA-2015-142419</t>
  </si>
  <si>
    <t>Shahid Collister</t>
  </si>
  <si>
    <t>CA-2015-104514</t>
  </si>
  <si>
    <t>CA-2015-141040</t>
  </si>
  <si>
    <t>Tim Brockman</t>
  </si>
  <si>
    <t>CA-2015-122371</t>
  </si>
  <si>
    <t>Bryan Spruell</t>
  </si>
  <si>
    <t>CA-2015-120397</t>
  </si>
  <si>
    <t>Richard Bierner</t>
  </si>
  <si>
    <t>CA-2015-102722</t>
  </si>
  <si>
    <t>Kelly Williams</t>
  </si>
  <si>
    <t>CA-2015-124541</t>
  </si>
  <si>
    <t>Thomas Thornton</t>
  </si>
  <si>
    <t>CA-2015-143238</t>
  </si>
  <si>
    <t>Lori Olson</t>
  </si>
  <si>
    <t>CA-2015-168746</t>
  </si>
  <si>
    <t>Seth Vernon</t>
  </si>
  <si>
    <t>CA-2015-113404</t>
  </si>
  <si>
    <t>US-2015-128090</t>
  </si>
  <si>
    <t>John Murray</t>
  </si>
  <si>
    <t>CA-2015-111458</t>
  </si>
  <si>
    <t>US-2015-112508</t>
  </si>
  <si>
    <t>Ben Peterman</t>
  </si>
  <si>
    <t>CA-2015-147788</t>
  </si>
  <si>
    <t>Tamara Manning</t>
  </si>
  <si>
    <t>CA-2015-144288</t>
  </si>
  <si>
    <t>Maria Bertelson</t>
  </si>
  <si>
    <t>CA-2015-110632</t>
  </si>
  <si>
    <t>Harold Ryan</t>
  </si>
  <si>
    <t>CA-2015-121041</t>
  </si>
  <si>
    <t>Chris Selesnick</t>
  </si>
  <si>
    <t>CA-2015-168186</t>
  </si>
  <si>
    <t>Aimee Bixby</t>
  </si>
  <si>
    <t>CA-2015-116750</t>
  </si>
  <si>
    <t>Barbara Fisher</t>
  </si>
  <si>
    <t>CA-2015-162369</t>
  </si>
  <si>
    <t>Tim Taslimi</t>
  </si>
  <si>
    <t>CA-2015-169740</t>
  </si>
  <si>
    <t>CA-2015-135538</t>
  </si>
  <si>
    <t>US-2015-139759</t>
  </si>
  <si>
    <t>Nancy Lomonaco</t>
  </si>
  <si>
    <t>CA-2015-153220</t>
  </si>
  <si>
    <t>Yoseph Carroll</t>
  </si>
  <si>
    <t>CA-2015-121797</t>
  </si>
  <si>
    <t>US-2015-120572</t>
  </si>
  <si>
    <t>CA-2015-103723</t>
  </si>
  <si>
    <t>CA-2015-129770</t>
  </si>
  <si>
    <t>Joe Elijah</t>
  </si>
  <si>
    <t>CA-2015-115798</t>
  </si>
  <si>
    <t>CA-2015-140144</t>
  </si>
  <si>
    <t>Stewart Carmichael</t>
  </si>
  <si>
    <t>US-2015-165449</t>
  </si>
  <si>
    <t>Anne Pryor</t>
  </si>
  <si>
    <t>CA-2015-110247</t>
  </si>
  <si>
    <t>Ritsa Hightower</t>
  </si>
  <si>
    <t>CA-2015-155306</t>
  </si>
  <si>
    <t>George Ashbrook</t>
  </si>
  <si>
    <t>US-2015-122140</t>
  </si>
  <si>
    <t>Michael Oakman</t>
  </si>
  <si>
    <t>CA-2015-127019</t>
  </si>
  <si>
    <t>Elpida Rittenbach</t>
  </si>
  <si>
    <t>CA-2015-138534</t>
  </si>
  <si>
    <t>Jessica Myrick</t>
  </si>
  <si>
    <t>CA-2015-149972</t>
  </si>
  <si>
    <t>Cynthia Delaney</t>
  </si>
  <si>
    <t>US-2015-110163</t>
  </si>
  <si>
    <t>Guy Armstrong</t>
  </si>
  <si>
    <t>CA-2015-159380</t>
  </si>
  <si>
    <t>Cindy Stewart</t>
  </si>
  <si>
    <t>CA-2015-122623</t>
  </si>
  <si>
    <t>CA-2015-148635</t>
  </si>
  <si>
    <t>Michelle Huthwaite</t>
  </si>
  <si>
    <t>CA-2015-135685</t>
  </si>
  <si>
    <t>Mike Pelletier</t>
  </si>
  <si>
    <t>CA-2015-104626</t>
  </si>
  <si>
    <t>Daniel Raglin</t>
  </si>
  <si>
    <t>US-2015-104185</t>
  </si>
  <si>
    <t>US-2015-114839</t>
  </si>
  <si>
    <t>Pierre Wener</t>
  </si>
  <si>
    <t>CA-2015-166464</t>
  </si>
  <si>
    <t>Paul Gonzalez</t>
  </si>
  <si>
    <t>CA-2015-118444</t>
  </si>
  <si>
    <t>CA-2015-134747</t>
  </si>
  <si>
    <t>US-2015-141453</t>
  </si>
  <si>
    <t>Deborah Brumfield</t>
  </si>
  <si>
    <t>CA-2015-168564</t>
  </si>
  <si>
    <t>CA-2015-158456</t>
  </si>
  <si>
    <t>Kean Takahito</t>
  </si>
  <si>
    <t>CA-2015-137512</t>
  </si>
  <si>
    <t>Anna Gayman</t>
  </si>
  <si>
    <t>CA-2015-139850</t>
  </si>
  <si>
    <t>Giulietta Baptist</t>
  </si>
  <si>
    <t>CA-2015-130610</t>
  </si>
  <si>
    <t>Victor Preis</t>
  </si>
  <si>
    <t>US-2015-138919</t>
  </si>
  <si>
    <t>Lindsay Shagiari</t>
  </si>
  <si>
    <t>CA-2015-123568</t>
  </si>
  <si>
    <t>Sanjit Chand</t>
  </si>
  <si>
    <t>CA-2015-164441</t>
  </si>
  <si>
    <t>Amy Cox</t>
  </si>
  <si>
    <t>CA-2015-168480</t>
  </si>
  <si>
    <t>Dario Medina</t>
  </si>
  <si>
    <t>US-2015-123960</t>
  </si>
  <si>
    <t>CA-2015-135174</t>
  </si>
  <si>
    <t>Benjamin Patterson</t>
  </si>
  <si>
    <t>US-2015-100377</t>
  </si>
  <si>
    <t>Todd Sumrall</t>
  </si>
  <si>
    <t>CA-2015-145184</t>
  </si>
  <si>
    <t>CA-2015-126137</t>
  </si>
  <si>
    <t>Bruce Stewart</t>
  </si>
  <si>
    <t>CA-2015-114468</t>
  </si>
  <si>
    <t>Tamara Dahlen</t>
  </si>
  <si>
    <t>CA-2015-121720</t>
  </si>
  <si>
    <t>Jim Epp</t>
  </si>
  <si>
    <t>CA-2015-112557</t>
  </si>
  <si>
    <t>CA-2015-147830</t>
  </si>
  <si>
    <t>Natalie Fritzler</t>
  </si>
  <si>
    <t>CA-2015-139584</t>
  </si>
  <si>
    <t>US-2015-163783</t>
  </si>
  <si>
    <t>CA-2015-149384</t>
  </si>
  <si>
    <t>Eric Hoffmann</t>
  </si>
  <si>
    <t>US-2015-137008</t>
  </si>
  <si>
    <t>Jennifer Patt</t>
  </si>
  <si>
    <t>CA-2015-155453</t>
  </si>
  <si>
    <t>Ruben Ausman</t>
  </si>
  <si>
    <t>CA-2015-155145</t>
  </si>
  <si>
    <t>Kean Nguyen</t>
  </si>
  <si>
    <t>CA-2015-146038</t>
  </si>
  <si>
    <t>Sarah Jordon</t>
  </si>
  <si>
    <t>CA-2015-157770</t>
  </si>
  <si>
    <t>US-2015-110569</t>
  </si>
  <si>
    <t>CA-2015-144386</t>
  </si>
  <si>
    <t>Grant Thornton</t>
  </si>
  <si>
    <t>CA-2015-165057</t>
  </si>
  <si>
    <t>CA-2015-120810</t>
  </si>
  <si>
    <t>CA-2015-112014</t>
  </si>
  <si>
    <t>US-2015-142020</t>
  </si>
  <si>
    <t>CA-2015-139962</t>
  </si>
  <si>
    <t>Dean percer</t>
  </si>
  <si>
    <t>CA-2015-115511</t>
  </si>
  <si>
    <t>Natalie Webber</t>
  </si>
  <si>
    <t>CA-2015-161718</t>
  </si>
  <si>
    <t>CA-2015-130659</t>
  </si>
  <si>
    <t>CA-2015-129700</t>
  </si>
  <si>
    <t>CA-2015-152527</t>
  </si>
  <si>
    <t>CA-2015-151841</t>
  </si>
  <si>
    <t>Tony Chapman</t>
  </si>
  <si>
    <t>CA-2015-150791</t>
  </si>
  <si>
    <t>Chuck Clark</t>
  </si>
  <si>
    <t>CA-2015-153381</t>
  </si>
  <si>
    <t>Deanra Eno</t>
  </si>
  <si>
    <t>US-2015-100531</t>
  </si>
  <si>
    <t>CA-2015-144099</t>
  </si>
  <si>
    <t>CA-2015-131779</t>
  </si>
  <si>
    <t>Laurel Elliston</t>
  </si>
  <si>
    <t>CA-2015-153325</t>
  </si>
  <si>
    <t>Shui Tom</t>
  </si>
  <si>
    <t>CA-2015-153626</t>
  </si>
  <si>
    <t>CA-2015-152611</t>
  </si>
  <si>
    <t>Kelly Andreada</t>
  </si>
  <si>
    <t>US-2015-147242</t>
  </si>
  <si>
    <t>Edward Hooks</t>
  </si>
  <si>
    <t>CA-2015-100888</t>
  </si>
  <si>
    <t>Mark Hamilton</t>
  </si>
  <si>
    <t>CA-2015-157322</t>
  </si>
  <si>
    <t>Rob Haberlin</t>
  </si>
  <si>
    <t>CA-2015-124975</t>
  </si>
  <si>
    <t>Michael Grace</t>
  </si>
  <si>
    <t>CA-2015-168767</t>
  </si>
  <si>
    <t>CA-2015-141145</t>
  </si>
  <si>
    <t>Denny Blanton</t>
  </si>
  <si>
    <t>CA-2015-143532</t>
  </si>
  <si>
    <t>Dan Campbell</t>
  </si>
  <si>
    <t>CA-2015-121650</t>
  </si>
  <si>
    <t>Keith Dawkins</t>
  </si>
  <si>
    <t>CA-2015-110093</t>
  </si>
  <si>
    <t>Alejandro Ballentine</t>
  </si>
  <si>
    <t>CA-2015-168459</t>
  </si>
  <si>
    <t>CA-2015-128083</t>
  </si>
  <si>
    <t>Edward Becker</t>
  </si>
  <si>
    <t>CA-2015-156440</t>
  </si>
  <si>
    <t>Matt Hagelstein</t>
  </si>
  <si>
    <t>CA-2015-132626</t>
  </si>
  <si>
    <t>Brian Thompson</t>
  </si>
  <si>
    <t>US-2015-131359</t>
  </si>
  <si>
    <t>CA-2015-151680</t>
  </si>
  <si>
    <t>CA-2015-104941</t>
  </si>
  <si>
    <t>Dave Hallsten</t>
  </si>
  <si>
    <t>CA-2015-109575</t>
  </si>
  <si>
    <t>Ken Heidel</t>
  </si>
  <si>
    <t>CA-2015-167745</t>
  </si>
  <si>
    <t>CA-2015-103205</t>
  </si>
  <si>
    <t>CA-2015-107937</t>
  </si>
  <si>
    <t>Julia Barnett</t>
  </si>
  <si>
    <t>CA-2015-135314</t>
  </si>
  <si>
    <t>CA-2015-111325</t>
  </si>
  <si>
    <t>CA-2015-163762</t>
  </si>
  <si>
    <t>CA-2015-113628</t>
  </si>
  <si>
    <t>Anna Häberlin</t>
  </si>
  <si>
    <t>CA-2015-103961</t>
  </si>
  <si>
    <t>Nathan Gelder</t>
  </si>
  <si>
    <t>CA-2015-102582</t>
  </si>
  <si>
    <t>CA-2015-140984</t>
  </si>
  <si>
    <t>Craig Carroll</t>
  </si>
  <si>
    <t>US-2015-111927</t>
  </si>
  <si>
    <t>Lycoris Saunders</t>
  </si>
  <si>
    <t>CA-2015-142377</t>
  </si>
  <si>
    <t>CA-2015-127593</t>
  </si>
  <si>
    <t>Duane Huffman</t>
  </si>
  <si>
    <t>CA-2015-157133</t>
  </si>
  <si>
    <t>Lena Creighton</t>
  </si>
  <si>
    <t>CA-2015-132486</t>
  </si>
  <si>
    <t>Jay Fein</t>
  </si>
  <si>
    <t>CA-2015-129896</t>
  </si>
  <si>
    <t>Peter Fuller</t>
  </si>
  <si>
    <t>CA-2015-121097</t>
  </si>
  <si>
    <t>CA-2015-151043</t>
  </si>
  <si>
    <t>Maureen Gastineau</t>
  </si>
  <si>
    <t>US-2015-119312</t>
  </si>
  <si>
    <t>Christopher Schild</t>
  </si>
  <si>
    <t>CA-2015-167010</t>
  </si>
  <si>
    <t>Valerie Takahito</t>
  </si>
  <si>
    <t>US-2015-148817</t>
  </si>
  <si>
    <t>CA-2015-118955</t>
  </si>
  <si>
    <t>CA-2015-113901</t>
  </si>
  <si>
    <t>Nicole Hansen</t>
  </si>
  <si>
    <t>US-2015-163685</t>
  </si>
  <si>
    <t>Katrina Edelman</t>
  </si>
  <si>
    <t>CA-2015-132374</t>
  </si>
  <si>
    <t>Penelope Sewall</t>
  </si>
  <si>
    <t>CA-2015-161998</t>
  </si>
  <si>
    <t>CA-2015-105627</t>
  </si>
  <si>
    <t>Dana Kaydos</t>
  </si>
  <si>
    <t>US-2015-149629</t>
  </si>
  <si>
    <t>Michael Paige</t>
  </si>
  <si>
    <t>US-2015-168732</t>
  </si>
  <si>
    <t>Khloe Miller</t>
  </si>
  <si>
    <t>CA-2015-107468</t>
  </si>
  <si>
    <t>Michael Kennedy</t>
  </si>
  <si>
    <t>CA-2015-153612</t>
  </si>
  <si>
    <t>CA-2015-165624</t>
  </si>
  <si>
    <t>Fred Harton</t>
  </si>
  <si>
    <t>CA-2015-148859</t>
  </si>
  <si>
    <t>CA-2015-137750</t>
  </si>
  <si>
    <t>Jill Fjeld</t>
  </si>
  <si>
    <t>CA-2015-136378</t>
  </si>
  <si>
    <t>Cari Sayre</t>
  </si>
  <si>
    <t>US-2015-166520</t>
  </si>
  <si>
    <t>CA-2015-124058</t>
  </si>
  <si>
    <t>US-2015-138716</t>
  </si>
  <si>
    <t>CA-2015-156104</t>
  </si>
  <si>
    <t>US-2015-164308</t>
  </si>
  <si>
    <t>Steve Carroll</t>
  </si>
  <si>
    <t>CA-2015-100685</t>
  </si>
  <si>
    <t>Suzanne McNair</t>
  </si>
  <si>
    <t>CA-2015-165414</t>
  </si>
  <si>
    <t>Lynn Smith</t>
  </si>
  <si>
    <t>CA-2015-102491</t>
  </si>
  <si>
    <t>CA-2015-105599</t>
  </si>
  <si>
    <t>CA-2015-153717</t>
  </si>
  <si>
    <t>Dionis Lloyd</t>
  </si>
  <si>
    <t>CA-2015-116687</t>
  </si>
  <si>
    <t>Noah Childs</t>
  </si>
  <si>
    <t>CA-2015-153416</t>
  </si>
  <si>
    <t>CA-2015-121272</t>
  </si>
  <si>
    <t>CA-2015-111703</t>
  </si>
  <si>
    <t>CA-2015-136196</t>
  </si>
  <si>
    <t>Tom Prescott</t>
  </si>
  <si>
    <t>CA-2015-101091</t>
  </si>
  <si>
    <t>Scot Wooten</t>
  </si>
  <si>
    <t>CA-2015-163587</t>
  </si>
  <si>
    <t>Emily Phan</t>
  </si>
  <si>
    <t>CA-2015-160213</t>
  </si>
  <si>
    <t>Anthony Rawles</t>
  </si>
  <si>
    <t>CA-2015-100216</t>
  </si>
  <si>
    <t>Heather Jas</t>
  </si>
  <si>
    <t>CA-2015-154340</t>
  </si>
  <si>
    <t>Eileen Kiefer</t>
  </si>
  <si>
    <t>CA-2015-129392</t>
  </si>
  <si>
    <t>Darrin Martin</t>
  </si>
  <si>
    <t>CA-2015-150875</t>
  </si>
  <si>
    <t>Heather Kirkland</t>
  </si>
  <si>
    <t>CA-2015-154200</t>
  </si>
  <si>
    <t>Bruce Geld</t>
  </si>
  <si>
    <t>US-2015-134271</t>
  </si>
  <si>
    <t>Roland Fjeld</t>
  </si>
  <si>
    <t>CA-2015-143105</t>
  </si>
  <si>
    <t>Matt Abelman</t>
  </si>
  <si>
    <t>CA-2015-111234</t>
  </si>
  <si>
    <t>Ann Blume</t>
  </si>
  <si>
    <t>CA-2015-154970</t>
  </si>
  <si>
    <t>Steven Roelle</t>
  </si>
  <si>
    <t>CA-2015-155068</t>
  </si>
  <si>
    <t>Ralph Arnett</t>
  </si>
  <si>
    <t>CA-2015-101924</t>
  </si>
  <si>
    <t>Ken Black</t>
  </si>
  <si>
    <t>CA-2015-166975</t>
  </si>
  <si>
    <t>Stefanie Holloman</t>
  </si>
  <si>
    <t>CA-2015-142692</t>
  </si>
  <si>
    <t>Andrew Gjertsen</t>
  </si>
  <si>
    <t>CA-2015-123456</t>
  </si>
  <si>
    <t>CA-2015-105690</t>
  </si>
  <si>
    <t>Carol Adams</t>
  </si>
  <si>
    <t>US-2015-117184</t>
  </si>
  <si>
    <t>CA-2015-115945</t>
  </si>
  <si>
    <t>CA-2015-136735</t>
  </si>
  <si>
    <t>US-2015-147662</t>
  </si>
  <si>
    <t>CA-2015-112375</t>
  </si>
  <si>
    <t>Roger Demir</t>
  </si>
  <si>
    <t>CA-2015-154795</t>
  </si>
  <si>
    <t>Gary Zandusky</t>
  </si>
  <si>
    <t>CA-2015-125234</t>
  </si>
  <si>
    <t>CA-2015-155600</t>
  </si>
  <si>
    <t>Rose O'Brian</t>
  </si>
  <si>
    <t>CA-2015-140830</t>
  </si>
  <si>
    <t>CA-2015-152891</t>
  </si>
  <si>
    <t>US-2015-122784</t>
  </si>
  <si>
    <t>CA-2015-164336</t>
  </si>
  <si>
    <t>CA-2015-163090</t>
  </si>
  <si>
    <t>Greg Hansen</t>
  </si>
  <si>
    <t>CA-2015-121965</t>
  </si>
  <si>
    <t>Logan Haushalter</t>
  </si>
  <si>
    <t>US-2015-146745</t>
  </si>
  <si>
    <t>Ann Steele</t>
  </si>
  <si>
    <t>CA-2015-163895</t>
  </si>
  <si>
    <t>Noel Staavos</t>
  </si>
  <si>
    <t>CA-2015-162621</t>
  </si>
  <si>
    <t>Cathy Armstrong</t>
  </si>
  <si>
    <t>CA-2015-163104</t>
  </si>
  <si>
    <t>CA-2015-104129</t>
  </si>
  <si>
    <t>Erin Smith</t>
  </si>
  <si>
    <t>CA-2015-126557</t>
  </si>
  <si>
    <t>Rob Lucas</t>
  </si>
  <si>
    <t>CA-2015-130218</t>
  </si>
  <si>
    <t>Sheri Gordon</t>
  </si>
  <si>
    <t>CA-2015-118871</t>
  </si>
  <si>
    <t>Harry Marie</t>
  </si>
  <si>
    <t>CA-2015-111990</t>
  </si>
  <si>
    <t>Duane Benoit</t>
  </si>
  <si>
    <t>US-2015-152128</t>
  </si>
  <si>
    <t>Nathan Mautz</t>
  </si>
  <si>
    <t>CA-2015-110947</t>
  </si>
  <si>
    <t>Anthony Garverick</t>
  </si>
  <si>
    <t>CA-2015-164427</t>
  </si>
  <si>
    <t>Allen Rosenblatt</t>
  </si>
  <si>
    <t>CA-2015-146948</t>
  </si>
  <si>
    <t>Michael Granlund</t>
  </si>
  <si>
    <t>US-2015-113327</t>
  </si>
  <si>
    <t>Ben Ferrer</t>
  </si>
  <si>
    <t>CA-2015-135020</t>
  </si>
  <si>
    <t>Maxwell Schwartz</t>
  </si>
  <si>
    <t>CA-2015-159863</t>
  </si>
  <si>
    <t>CA-2015-117800</t>
  </si>
  <si>
    <t>CA-2015-161214</t>
  </si>
  <si>
    <t>US-2015-126235</t>
  </si>
  <si>
    <t>CA-2015-130456</t>
  </si>
  <si>
    <t>CA-2015-147501</t>
  </si>
  <si>
    <t>Corey-Lock</t>
  </si>
  <si>
    <t>CA-2015-112130</t>
  </si>
  <si>
    <t>Stewart Visinsky</t>
  </si>
  <si>
    <t>US-2015-138121</t>
  </si>
  <si>
    <t>John Lee</t>
  </si>
  <si>
    <t>US-2015-122910</t>
  </si>
  <si>
    <t>Larry Tron</t>
  </si>
  <si>
    <t>CA-2015-129042</t>
  </si>
  <si>
    <t>CA-2015-109736</t>
  </si>
  <si>
    <t>CA-2015-142601</t>
  </si>
  <si>
    <t>US-2015-103996</t>
  </si>
  <si>
    <t>CA-2015-155054</t>
  </si>
  <si>
    <t>CA-2015-105725</t>
  </si>
  <si>
    <t>Guy Thornton</t>
  </si>
  <si>
    <t>US-2015-167220</t>
  </si>
  <si>
    <t>CA-2015-118227</t>
  </si>
  <si>
    <t>CA-2015-123155</t>
  </si>
  <si>
    <t>CA-2015-104346</t>
  </si>
  <si>
    <t>US-2015-141684</t>
  </si>
  <si>
    <t>Michelle Moray</t>
  </si>
  <si>
    <t>CA-2015-144722</t>
  </si>
  <si>
    <t>Monica Federle</t>
  </si>
  <si>
    <t>CA-2015-120516</t>
  </si>
  <si>
    <t>CA-2015-137708</t>
  </si>
  <si>
    <t>CA-2015-151589</t>
  </si>
  <si>
    <t>Richard Eichhorn</t>
  </si>
  <si>
    <t>CA-2015-140025</t>
  </si>
  <si>
    <t>CA-2015-124044</t>
  </si>
  <si>
    <t>CA-2015-137526</t>
  </si>
  <si>
    <t>CA-2015-161830</t>
  </si>
  <si>
    <t>Max Engle</t>
  </si>
  <si>
    <t>CA-2015-106978</t>
  </si>
  <si>
    <t>CA-2015-155124</t>
  </si>
  <si>
    <t>Karen Seio</t>
  </si>
  <si>
    <t>CA-2015-156482</t>
  </si>
  <si>
    <t>Ivan Liston</t>
  </si>
  <si>
    <t>CA-2015-144190</t>
  </si>
  <si>
    <t>Nathan Cano</t>
  </si>
  <si>
    <t>CA-2015-153906</t>
  </si>
  <si>
    <t>CA-2015-127607</t>
  </si>
  <si>
    <t>CA-2015-109708</t>
  </si>
  <si>
    <t>Craig Yedwab</t>
  </si>
  <si>
    <t>CA-2015-122406</t>
  </si>
  <si>
    <t>Brad Eason</t>
  </si>
  <si>
    <t>CA-2015-142202</t>
  </si>
  <si>
    <t>Justin Ritter</t>
  </si>
  <si>
    <t>CA-2015-165050</t>
  </si>
  <si>
    <t>CA-2015-160696</t>
  </si>
  <si>
    <t>Cyma Kinney</t>
  </si>
  <si>
    <t>CA-2015-153038</t>
  </si>
  <si>
    <t>Robert Barroso</t>
  </si>
  <si>
    <t>CA-2015-158659</t>
  </si>
  <si>
    <t>Steve Chapman</t>
  </si>
  <si>
    <t>CA-2015-169796</t>
  </si>
  <si>
    <t>CA-2015-102876</t>
  </si>
  <si>
    <t>Lisa Ryan</t>
  </si>
  <si>
    <t>CA-2015-103954</t>
  </si>
  <si>
    <t>Hallie Redmond</t>
  </si>
  <si>
    <t>CA-2015-136469</t>
  </si>
  <si>
    <t>CA-2015-150511</t>
  </si>
  <si>
    <t>Adam Bellavance</t>
  </si>
  <si>
    <t>CA-2015-134922</t>
  </si>
  <si>
    <t>CA-2015-141243</t>
  </si>
  <si>
    <t>Amy Hunt</t>
  </si>
  <si>
    <t>CA-2015-162166</t>
  </si>
  <si>
    <t>CA-2015-136798</t>
  </si>
  <si>
    <t>CA-2015-145485</t>
  </si>
  <si>
    <t>US-2015-137533</t>
  </si>
  <si>
    <t>CA-2015-144302</t>
  </si>
  <si>
    <t>Maria Etezadi</t>
  </si>
  <si>
    <t>CA-2015-109001</t>
  </si>
  <si>
    <t>Katherine Nockton</t>
  </si>
  <si>
    <t>CA-2015-119102</t>
  </si>
  <si>
    <t>Kristen Hastings</t>
  </si>
  <si>
    <t>CA-2015-141936</t>
  </si>
  <si>
    <t>Parhena Norris</t>
  </si>
  <si>
    <t>CA-2015-167374</t>
  </si>
  <si>
    <t>Gene McClure</t>
  </si>
  <si>
    <t>CA-2015-147102</t>
  </si>
  <si>
    <t>CA-2015-153073</t>
  </si>
  <si>
    <t>CA-2015-127173</t>
  </si>
  <si>
    <t>CA-2015-123330</t>
  </si>
  <si>
    <t>CA-2015-146696</t>
  </si>
  <si>
    <t>CA-2015-154886</t>
  </si>
  <si>
    <t>US-2015-124219</t>
  </si>
  <si>
    <t>CA-2015-156146</t>
  </si>
  <si>
    <t>CA-2015-161627</t>
  </si>
  <si>
    <t>CA-2015-107741</t>
  </si>
  <si>
    <t>Fred Chung</t>
  </si>
  <si>
    <t>US-2015-120502</t>
  </si>
  <si>
    <t>CA-2015-134719</t>
  </si>
  <si>
    <t>John Dryer</t>
  </si>
  <si>
    <t>US-2015-154389</t>
  </si>
  <si>
    <t>Eugene Hildebrand</t>
  </si>
  <si>
    <t>CA-2015-115567</t>
  </si>
  <si>
    <t>CA-2015-142454</t>
  </si>
  <si>
    <t>CA-2015-102015</t>
  </si>
  <si>
    <t>CA-2015-156755</t>
  </si>
  <si>
    <t>Yana Sorensen</t>
  </si>
  <si>
    <t>CA-2015-130876</t>
  </si>
  <si>
    <t>Annie Zypern</t>
  </si>
  <si>
    <t>US-2015-168914</t>
  </si>
  <si>
    <t>CA-2015-106215</t>
  </si>
  <si>
    <t>Brad Norvell</t>
  </si>
  <si>
    <t>CA-2015-132318</t>
  </si>
  <si>
    <t>CA-2015-125185</t>
  </si>
  <si>
    <t>Alan Haines</t>
  </si>
  <si>
    <t>CA-2015-162887</t>
  </si>
  <si>
    <t>CA-2015-105158</t>
  </si>
  <si>
    <t>Sung Pak</t>
  </si>
  <si>
    <t>CA-2015-111073</t>
  </si>
  <si>
    <t>Mick Crebagga</t>
  </si>
  <si>
    <t>CA-2015-119508</t>
  </si>
  <si>
    <t>Tracy Zic</t>
  </si>
  <si>
    <t>CA-2015-152681</t>
  </si>
  <si>
    <t>CA-2015-120320</t>
  </si>
  <si>
    <t>Mike Vittorini</t>
  </si>
  <si>
    <t>CA-2015-169278</t>
  </si>
  <si>
    <t>Michelle Ellison</t>
  </si>
  <si>
    <t>CA-2015-146486</t>
  </si>
  <si>
    <t>Dianna Vittorini</t>
  </si>
  <si>
    <t>CA-2015-112053</t>
  </si>
  <si>
    <t>Shahid Hopkins</t>
  </si>
  <si>
    <t>CA-2015-149811</t>
  </si>
  <si>
    <t>CA-2015-118738</t>
  </si>
  <si>
    <t>CA-2015-110877</t>
  </si>
  <si>
    <t>CA-2015-160171</t>
  </si>
  <si>
    <t>Robert Marley</t>
  </si>
  <si>
    <t>CA-2015-148712</t>
  </si>
  <si>
    <t>CA-2015-156608</t>
  </si>
  <si>
    <t>Michelle Tran</t>
  </si>
  <si>
    <t>CA-2015-113523</t>
  </si>
  <si>
    <t>CA-2015-168529</t>
  </si>
  <si>
    <t>CA-2015-103177</t>
  </si>
  <si>
    <t>Edward Nazzal</t>
  </si>
  <si>
    <t>CA-2015-142055</t>
  </si>
  <si>
    <t>CA-2015-137106</t>
  </si>
  <si>
    <t>CA-2015-120551</t>
  </si>
  <si>
    <t>Sonia Sunley</t>
  </si>
  <si>
    <t>CA-2015-125066</t>
  </si>
  <si>
    <t>US-2015-114741</t>
  </si>
  <si>
    <t>CA-2015-149993</t>
  </si>
  <si>
    <t>CA-2015-159779</t>
  </si>
  <si>
    <t>Sarah Brown</t>
  </si>
  <si>
    <t>CA-2015-142475</t>
  </si>
  <si>
    <t>Bill Stewart</t>
  </si>
  <si>
    <t>CA-2015-168634</t>
  </si>
  <si>
    <t>Art Ferguson</t>
  </si>
  <si>
    <t>CA-2015-145828</t>
  </si>
  <si>
    <t>CA-2015-101154</t>
  </si>
  <si>
    <t>CA-2015-134943</t>
  </si>
  <si>
    <t>Stephanie Ulpright</t>
  </si>
  <si>
    <t>CA-2015-166604</t>
  </si>
  <si>
    <t>CA-2015-104241</t>
  </si>
  <si>
    <t>CA-2015-141012</t>
  </si>
  <si>
    <t>CA-2015-131072</t>
  </si>
  <si>
    <t>CA-2015-119550</t>
  </si>
  <si>
    <t>US-2015-138093</t>
  </si>
  <si>
    <t>US-2015-160857</t>
  </si>
  <si>
    <t>CA-2015-124107</t>
  </si>
  <si>
    <t>CA-2015-138674</t>
  </si>
  <si>
    <t>CA-2015-103933</t>
  </si>
  <si>
    <t>CA-2015-110548</t>
  </si>
  <si>
    <t>CA-2015-150749</t>
  </si>
  <si>
    <t>Alan Shonely</t>
  </si>
  <si>
    <t>CA-2015-119634</t>
  </si>
  <si>
    <t>Barry Weirich</t>
  </si>
  <si>
    <t>CA-2015-149300</t>
  </si>
  <si>
    <t>Brosina Hoffman</t>
  </si>
  <si>
    <t>CA-2015-162047</t>
  </si>
  <si>
    <t>CA-2015-117772</t>
  </si>
  <si>
    <t>CA-2015-154900</t>
  </si>
  <si>
    <t>Sung Shariari</t>
  </si>
  <si>
    <t>CA-2015-103835</t>
  </si>
  <si>
    <t>CA-2015-158939</t>
  </si>
  <si>
    <t>US-2015-159513</t>
  </si>
  <si>
    <t>CA-2015-155586</t>
  </si>
  <si>
    <t>Xylona Preis</t>
  </si>
  <si>
    <t>CA-2015-163440</t>
  </si>
  <si>
    <t>Ruben Dartt</t>
  </si>
  <si>
    <t>US-2015-163279</t>
  </si>
  <si>
    <t>CA-2015-150196</t>
  </si>
  <si>
    <t>US-2015-106495</t>
  </si>
  <si>
    <t>CA-2015-111206</t>
  </si>
  <si>
    <t>CA-2015-101868</t>
  </si>
  <si>
    <t>Max Jones</t>
  </si>
  <si>
    <t>CA-2015-132948</t>
  </si>
  <si>
    <t>Mark Van Huff</t>
  </si>
  <si>
    <t>CA-2015-134992</t>
  </si>
  <si>
    <t>CA-2015-126725</t>
  </si>
  <si>
    <t>Brian Stugart</t>
  </si>
  <si>
    <t>CA-2015-121783</t>
  </si>
  <si>
    <t>CA-2015-112214</t>
  </si>
  <si>
    <t>CA-2015-108119</t>
  </si>
  <si>
    <t>MaryBeth Skach</t>
  </si>
  <si>
    <t>CA-2015-157434</t>
  </si>
  <si>
    <t>CA-2015-130554</t>
  </si>
  <si>
    <t>Frank Merwin</t>
  </si>
  <si>
    <t>CA-2015-147879</t>
  </si>
  <si>
    <t>Chris Cortes</t>
  </si>
  <si>
    <t>CA-2015-146465</t>
  </si>
  <si>
    <t>Patrick Bzostek</t>
  </si>
  <si>
    <t>US-2015-126977</t>
  </si>
  <si>
    <t>CA-2015-115924</t>
  </si>
  <si>
    <t>CA-2015-143980</t>
  </si>
  <si>
    <t>CA-2015-100657</t>
  </si>
  <si>
    <t>CA-2015-135580</t>
  </si>
  <si>
    <t>Clay Ludtke</t>
  </si>
  <si>
    <t>CA-2015-130253</t>
  </si>
  <si>
    <t>US-2015-155369</t>
  </si>
  <si>
    <t>Patrick Gardner</t>
  </si>
  <si>
    <t>CA-2015-113215</t>
  </si>
  <si>
    <t>Cathy Prescott</t>
  </si>
  <si>
    <t>CA-2015-105571</t>
  </si>
  <si>
    <t>Christine Phan</t>
  </si>
  <si>
    <t>CA-2015-153878</t>
  </si>
  <si>
    <t>Trudy Schmidt</t>
  </si>
  <si>
    <t>CA-2015-134201</t>
  </si>
  <si>
    <t>CA-2015-111780</t>
  </si>
  <si>
    <t>CA-2015-119942</t>
  </si>
  <si>
    <t>Ted Trevino</t>
  </si>
  <si>
    <t>CA-2015-151547</t>
  </si>
  <si>
    <t>CA-2015-120901</t>
  </si>
  <si>
    <t>Barry Gonzalez</t>
  </si>
  <si>
    <t>CA-2015-114048</t>
  </si>
  <si>
    <t>CA-2015-137281</t>
  </si>
  <si>
    <t>CA-2015-147011</t>
  </si>
  <si>
    <t>CA-2015-142139</t>
  </si>
  <si>
    <t>Shirley Daniels</t>
  </si>
  <si>
    <t>CA-2015-105613</t>
  </si>
  <si>
    <t>Kristina Nunn</t>
  </si>
  <si>
    <t>US-2015-113593</t>
  </si>
  <si>
    <t>CA-2015-142433</t>
  </si>
  <si>
    <t>Erica Smith</t>
  </si>
  <si>
    <t>CA-2015-132815</t>
  </si>
  <si>
    <t>CA-2015-158421</t>
  </si>
  <si>
    <t>CA-2015-138331</t>
  </si>
  <si>
    <t>Jim Karlsson</t>
  </si>
  <si>
    <t>CA-2015-138954</t>
  </si>
  <si>
    <t>CA-2015-149909</t>
  </si>
  <si>
    <t>CA-2015-146675</t>
  </si>
  <si>
    <t>CA-2015-161711</t>
  </si>
  <si>
    <t>Mark Cousins</t>
  </si>
  <si>
    <t>US-2015-129553</t>
  </si>
  <si>
    <t>CA-2015-133445</t>
  </si>
  <si>
    <t>CA-2015-134075</t>
  </si>
  <si>
    <t>CA-2015-112305</t>
  </si>
  <si>
    <t>Katrina Bavinger</t>
  </si>
  <si>
    <t>CA-2015-151624</t>
  </si>
  <si>
    <t>CA-2015-133977</t>
  </si>
  <si>
    <t>Alyssa Tate</t>
  </si>
  <si>
    <t>CA-2015-133536</t>
  </si>
  <si>
    <t>John Huston</t>
  </si>
  <si>
    <t>CA-2015-150441</t>
  </si>
  <si>
    <t>CA-2015-162607</t>
  </si>
  <si>
    <t>CA-2015-115392</t>
  </si>
  <si>
    <t>CA-2015-116484</t>
  </si>
  <si>
    <t>Jamie Kunitz</t>
  </si>
  <si>
    <t>US-2015-139675</t>
  </si>
  <si>
    <t>CA-2015-151253</t>
  </si>
  <si>
    <t>CA-2015-110289</t>
  </si>
  <si>
    <t>Nona Balk</t>
  </si>
  <si>
    <t>CA-2015-146255</t>
  </si>
  <si>
    <t>Eugene Moren</t>
  </si>
  <si>
    <t>CA-2015-104486</t>
  </si>
  <si>
    <t>Patrick O'Brill</t>
  </si>
  <si>
    <t>US-2015-161347</t>
  </si>
  <si>
    <t>Harry Greene</t>
  </si>
  <si>
    <t>US-2015-109015</t>
  </si>
  <si>
    <t>Brendan Sweed</t>
  </si>
  <si>
    <t>CA-2015-115693</t>
  </si>
  <si>
    <t>Frank Carlisle</t>
  </si>
  <si>
    <t>CA-2015-147529</t>
  </si>
  <si>
    <t>CA-2015-156328</t>
  </si>
  <si>
    <t>Raymond Messe</t>
  </si>
  <si>
    <t>CA-2015-149650</t>
  </si>
  <si>
    <t>Robert Dilbeck</t>
  </si>
  <si>
    <t>CA-2015-121405</t>
  </si>
  <si>
    <t>CA-2015-151785</t>
  </si>
  <si>
    <t>CA-2015-156510</t>
  </si>
  <si>
    <t>Erica Hackney</t>
  </si>
  <si>
    <t>US-2015-110261</t>
  </si>
  <si>
    <t>Patrick Ryan</t>
  </si>
  <si>
    <t>CA-2015-125710</t>
  </si>
  <si>
    <t>CA-2015-114503</t>
  </si>
  <si>
    <t>CA-2015-108532</t>
  </si>
  <si>
    <t>Chad Cunningham</t>
  </si>
  <si>
    <t>CA-2015-120621</t>
  </si>
  <si>
    <t>Julia West</t>
  </si>
  <si>
    <t>CA-2015-103135</t>
  </si>
  <si>
    <t>Shirley Schmidt</t>
  </si>
  <si>
    <t>CA-2015-109862</t>
  </si>
  <si>
    <t>US-2015-164966</t>
  </si>
  <si>
    <t>Gary Hansen</t>
  </si>
  <si>
    <t>CA-2015-126739</t>
  </si>
  <si>
    <t>CA-2015-166947</t>
  </si>
  <si>
    <t>CA-2015-153752</t>
  </si>
  <si>
    <t>CA-2015-103716</t>
  </si>
  <si>
    <t>CA-2015-146290</t>
  </si>
  <si>
    <t>US-2015-118906</t>
  </si>
  <si>
    <t>CA-2015-107678</t>
  </si>
  <si>
    <t>Juliana Krohn</t>
  </si>
  <si>
    <t>CA-2015-141250</t>
  </si>
  <si>
    <t>Paul MacIntyre</t>
  </si>
  <si>
    <t>CA-2015-135489</t>
  </si>
  <si>
    <t>Giulietta Weimer</t>
  </si>
  <si>
    <t>CA-2015-125696</t>
  </si>
  <si>
    <t>US-2015-156496</t>
  </si>
  <si>
    <t>CA-2015-129322</t>
  </si>
  <si>
    <t>CA-2015-153794</t>
  </si>
  <si>
    <t>Sean Braxton</t>
  </si>
  <si>
    <t>CA-2015-135510</t>
  </si>
  <si>
    <t>Tamara Willingham</t>
  </si>
  <si>
    <t>CA-2015-109337</t>
  </si>
  <si>
    <t>Denise Leinenbach</t>
  </si>
  <si>
    <t>US-2015-129637</t>
  </si>
  <si>
    <t>CA-2015-165162</t>
  </si>
  <si>
    <t>Hunter Glantz</t>
  </si>
  <si>
    <t>CA-2015-153535</t>
  </si>
  <si>
    <t>CA-2015-139164</t>
  </si>
  <si>
    <t>CA-2015-123141</t>
  </si>
  <si>
    <t>CA-2015-156734</t>
  </si>
  <si>
    <t>CA-2015-141754</t>
  </si>
  <si>
    <t>Evan Minnotte</t>
  </si>
  <si>
    <t>CA-2015-156923</t>
  </si>
  <si>
    <t>CA-2015-105361</t>
  </si>
  <si>
    <t>Chad McGuire</t>
  </si>
  <si>
    <t>CA-2015-118843</t>
  </si>
  <si>
    <t>Jonathan Howell</t>
  </si>
  <si>
    <t>CA-2015-161445</t>
  </si>
  <si>
    <t>CA-2015-145394</t>
  </si>
  <si>
    <t>Matt Connell</t>
  </si>
  <si>
    <t>CA-2015-168809</t>
  </si>
  <si>
    <t>CA-2015-128125</t>
  </si>
  <si>
    <t>CA-2015-154291</t>
  </si>
  <si>
    <t>CA-2015-112522</t>
  </si>
  <si>
    <t>David Philippe</t>
  </si>
  <si>
    <t>CA-2015-116260</t>
  </si>
  <si>
    <t>CA-2015-166338</t>
  </si>
  <si>
    <t>CA-2015-162544</t>
  </si>
  <si>
    <t>US-2015-123918</t>
  </si>
  <si>
    <t>Claire Gute</t>
  </si>
  <si>
    <t>CA-2015-137113</t>
  </si>
  <si>
    <t>CA-2015-120677</t>
  </si>
  <si>
    <t>Bill Donatelli</t>
  </si>
  <si>
    <t>US-2015-165512</t>
  </si>
  <si>
    <t>Vivek Sundaresam</t>
  </si>
  <si>
    <t>CA-2015-140557</t>
  </si>
  <si>
    <t>Tanja Norvell</t>
  </si>
  <si>
    <t>CA-2015-104115</t>
  </si>
  <si>
    <t>CA-2015-102806</t>
  </si>
  <si>
    <t>CA-2015-134257</t>
  </si>
  <si>
    <t>Maurice Satty</t>
  </si>
  <si>
    <t>CA-2015-137925</t>
  </si>
  <si>
    <t>Janet Lee</t>
  </si>
  <si>
    <t>CA-2015-139248</t>
  </si>
  <si>
    <t>Russell D'Ascenzo</t>
  </si>
  <si>
    <t>CA-2015-126466</t>
  </si>
  <si>
    <t>CA-2015-130365</t>
  </si>
  <si>
    <t>CA-2015-161767</t>
  </si>
  <si>
    <t>Grace Kelly</t>
  </si>
  <si>
    <t>CA-2015-129917</t>
  </si>
  <si>
    <t>Henry MacAllister</t>
  </si>
  <si>
    <t>CA-2015-115420</t>
  </si>
  <si>
    <t>Linda Southworth</t>
  </si>
  <si>
    <t>CA-2015-167255</t>
  </si>
  <si>
    <t>Rick Huthwaite</t>
  </si>
  <si>
    <t>CA-2015-110765</t>
  </si>
  <si>
    <t>CA-2015-112144</t>
  </si>
  <si>
    <t>CA-2015-109386</t>
  </si>
  <si>
    <t>CA-2015-166800</t>
  </si>
  <si>
    <t>Aleksandra Gannaway</t>
  </si>
  <si>
    <t>CA-2015-104871</t>
  </si>
  <si>
    <t>CA-2015-141740</t>
  </si>
  <si>
    <t>CA-2015-154823</t>
  </si>
  <si>
    <t>CA-2015-132633</t>
  </si>
  <si>
    <t>CA-2015-105844</t>
  </si>
  <si>
    <t>Jennifer Ferguson</t>
  </si>
  <si>
    <t>CA-2015-119480</t>
  </si>
  <si>
    <t>US-2015-153374</t>
  </si>
  <si>
    <t>CA-2015-124933</t>
  </si>
  <si>
    <t>David Flashing</t>
  </si>
  <si>
    <t>CA-2015-128013</t>
  </si>
  <si>
    <t>CA-2015-163965</t>
  </si>
  <si>
    <t>CA-2015-166583</t>
  </si>
  <si>
    <t>CA-2015-106208</t>
  </si>
  <si>
    <t>US-2015-136749</t>
  </si>
  <si>
    <t>Lena Hernandez</t>
  </si>
  <si>
    <t>CA-2015-145835</t>
  </si>
  <si>
    <t>US-2015-156797</t>
  </si>
  <si>
    <t>CA-2015-136658</t>
  </si>
  <si>
    <t>Bobby Odegard</t>
  </si>
  <si>
    <t>CA-2015-103072</t>
  </si>
  <si>
    <t>Helen Wasserman</t>
  </si>
  <si>
    <t>CA-2015-150770</t>
  </si>
  <si>
    <t>CA-2015-158491</t>
  </si>
  <si>
    <t>Becky Pak</t>
  </si>
  <si>
    <t>CA-2015-144519</t>
  </si>
  <si>
    <t>Arthur Wiediger</t>
  </si>
  <si>
    <t>CA-2015-162782</t>
  </si>
  <si>
    <t>CA-2015-148964</t>
  </si>
  <si>
    <t>CA-2015-101126</t>
  </si>
  <si>
    <t>CA-2015-121699</t>
  </si>
  <si>
    <t>CA-2015-162761</t>
  </si>
  <si>
    <t>Sonia Cooley</t>
  </si>
  <si>
    <t>CA-2015-125563</t>
  </si>
  <si>
    <t>CA-2015-113152</t>
  </si>
  <si>
    <t>CA-2015-159590</t>
  </si>
  <si>
    <t>CA-2015-139780</t>
  </si>
  <si>
    <t>CA-2015-110345</t>
  </si>
  <si>
    <t>Toby Gnade</t>
  </si>
  <si>
    <t>CA-2015-136224</t>
  </si>
  <si>
    <t>Muhammed Lee</t>
  </si>
  <si>
    <t>CA-2015-100146</t>
  </si>
  <si>
    <t>CA-2015-148180</t>
  </si>
  <si>
    <t>Bart Pistole</t>
  </si>
  <si>
    <t>CA-2015-145457</t>
  </si>
  <si>
    <t>CA-2015-120446</t>
  </si>
  <si>
    <t>John Grady</t>
  </si>
  <si>
    <t>CA-2015-137974</t>
  </si>
  <si>
    <t>US-2015-136987</t>
  </si>
  <si>
    <t>CA-2015-138485</t>
  </si>
  <si>
    <t>Nora Paige</t>
  </si>
  <si>
    <t>CA-2015-100734</t>
  </si>
  <si>
    <t>Ann Chong</t>
  </si>
  <si>
    <t>US-2015-134558</t>
  </si>
  <si>
    <t>Peter McVee</t>
  </si>
  <si>
    <t>CA-2015-108672</t>
  </si>
  <si>
    <t>CA-2015-129532</t>
  </si>
  <si>
    <t>CA-2015-123113</t>
  </si>
  <si>
    <t>Annie Thurman</t>
  </si>
  <si>
    <t>CA-2015-169656</t>
  </si>
  <si>
    <t>Ed Jacobs</t>
  </si>
  <si>
    <t>CA-2015-142734</t>
  </si>
  <si>
    <t>Denise Monton</t>
  </si>
  <si>
    <t>CA-2015-139738</t>
  </si>
  <si>
    <t>CA-2015-164567</t>
  </si>
  <si>
    <t>US-2015-130491</t>
  </si>
  <si>
    <t>CA-2015-113740</t>
  </si>
  <si>
    <t>CA-2015-136805</t>
  </si>
  <si>
    <t>US-2015-159499</t>
  </si>
  <si>
    <t>Eudokia Martin</t>
  </si>
  <si>
    <t>CA-2015-161452</t>
  </si>
  <si>
    <t>CA-2015-101889</t>
  </si>
  <si>
    <t>CA-2015-121552</t>
  </si>
  <si>
    <t>Fred Wasserman</t>
  </si>
  <si>
    <t>CA-2015-107685</t>
  </si>
  <si>
    <t>CA-2015-130974</t>
  </si>
  <si>
    <t>CA-2015-120782</t>
  </si>
  <si>
    <t>CA-2015-116876</t>
  </si>
  <si>
    <t>US-2015-142811</t>
  </si>
  <si>
    <t>CA-2015-149636</t>
  </si>
  <si>
    <t>CA-2015-108588</t>
  </si>
  <si>
    <t>Brooke Gillingham</t>
  </si>
  <si>
    <t>CA-2015-139374</t>
  </si>
  <si>
    <t>Alex Russell</t>
  </si>
  <si>
    <t>US-2015-150231</t>
  </si>
  <si>
    <t>CA-2015-147816</t>
  </si>
  <si>
    <t>Carlos Meador</t>
  </si>
  <si>
    <t>CA-2015-109113</t>
  </si>
  <si>
    <t>CA-2015-156153</t>
  </si>
  <si>
    <t>CA-2015-133242</t>
  </si>
  <si>
    <t>Keith Herrera</t>
  </si>
  <si>
    <t>CA-2015-158323</t>
  </si>
  <si>
    <t>CA-2015-161795</t>
  </si>
  <si>
    <t>Adam Hart</t>
  </si>
  <si>
    <t>CA-2015-103093</t>
  </si>
  <si>
    <t>Frank Olsen</t>
  </si>
  <si>
    <t>CA-2015-169299</t>
  </si>
  <si>
    <t>CA-2015-132136</t>
  </si>
  <si>
    <t>CA-2015-127481</t>
  </si>
  <si>
    <t>Jonathan Doherty</t>
  </si>
  <si>
    <t>CA-2015-112711</t>
  </si>
  <si>
    <t>Fred McMath</t>
  </si>
  <si>
    <t>US-2015-145121</t>
  </si>
  <si>
    <t>CA-2015-102260</t>
  </si>
  <si>
    <t>Sanjit Jacobs</t>
  </si>
  <si>
    <t>CA-2015-127327</t>
  </si>
  <si>
    <t>Pauline Webber</t>
  </si>
  <si>
    <t>CA-2015-137302</t>
  </si>
  <si>
    <t>CA-2015-128958</t>
  </si>
  <si>
    <t>Cyra Reiten</t>
  </si>
  <si>
    <t>CA-2015-106257</t>
  </si>
  <si>
    <t>Eugene Barchas</t>
  </si>
  <si>
    <t>CA-2015-149083</t>
  </si>
  <si>
    <t>Sally Hughsby</t>
  </si>
  <si>
    <t>CA-2015-125976</t>
  </si>
  <si>
    <t>CA-2015-144890</t>
  </si>
  <si>
    <t>Sean Miller</t>
  </si>
  <si>
    <t>CA-2015-142993</t>
  </si>
  <si>
    <t>CA-2015-143364</t>
  </si>
  <si>
    <t>CA-2015-148705</t>
  </si>
  <si>
    <t>Evan Bailliet</t>
  </si>
  <si>
    <t>CA-2015-126669</t>
  </si>
  <si>
    <t>Doug O'Connell</t>
  </si>
  <si>
    <t>US-2015-118766</t>
  </si>
  <si>
    <t>CA-2015-110891</t>
  </si>
  <si>
    <t>CA-2015-152513</t>
  </si>
  <si>
    <t>Julie Prescott</t>
  </si>
  <si>
    <t>CA-2015-145814</t>
  </si>
  <si>
    <t>CA-2015-138219</t>
  </si>
  <si>
    <t>US-2015-126753</t>
  </si>
  <si>
    <t>CA-2015-113040</t>
  </si>
  <si>
    <t>US-2015-165743</t>
  </si>
  <si>
    <t>US-2015-151407</t>
  </si>
  <si>
    <t>CA-2015-110870</t>
  </si>
  <si>
    <t>Karen Daniels</t>
  </si>
  <si>
    <t>CA-2015-110863</t>
  </si>
  <si>
    <t>Anna Andreadi</t>
  </si>
  <si>
    <t>US-2015-136427</t>
  </si>
  <si>
    <t>CA-2015-132465</t>
  </si>
  <si>
    <t>Don Miller</t>
  </si>
  <si>
    <t>CA-2015-119690</t>
  </si>
  <si>
    <t>CA-2015-153738</t>
  </si>
  <si>
    <t>Alejandro Grove</t>
  </si>
  <si>
    <t>CA-2015-121188</t>
  </si>
  <si>
    <t>CA-2015-156013</t>
  </si>
  <si>
    <t>Tamara Chand</t>
  </si>
  <si>
    <t>US-2015-160563</t>
  </si>
  <si>
    <t>CA-2015-106187</t>
  </si>
  <si>
    <t>Randy Ferguson</t>
  </si>
  <si>
    <t>CA-2015-150714</t>
  </si>
  <si>
    <t>CA-2015-107020</t>
  </si>
  <si>
    <t>US-2015-117492</t>
  </si>
  <si>
    <t>CA-2015-127502</t>
  </si>
  <si>
    <t>CA-2015-149846</t>
  </si>
  <si>
    <t>CA-2015-137064</t>
  </si>
  <si>
    <t>CA-2015-131352</t>
  </si>
  <si>
    <t>Gene Hale</t>
  </si>
  <si>
    <t>CA-2015-121776</t>
  </si>
  <si>
    <t>CA-2015-120915</t>
  </si>
  <si>
    <t>CA-2015-168207</t>
  </si>
  <si>
    <t>CA-2015-112767</t>
  </si>
  <si>
    <t>CA-2015-119879</t>
  </si>
  <si>
    <t>Shahid Shariari</t>
  </si>
  <si>
    <t>CA-2015-136728</t>
  </si>
  <si>
    <t>CA-2015-140375</t>
  </si>
  <si>
    <t>CA-2015-141327</t>
  </si>
  <si>
    <t>Lena Radford</t>
  </si>
  <si>
    <t>CA-2015-136700</t>
  </si>
  <si>
    <t>CA-2015-114811</t>
  </si>
  <si>
    <t>CA-2015-122266</t>
  </si>
  <si>
    <t>CA-2015-141565</t>
  </si>
  <si>
    <t>CA-2015-120845</t>
  </si>
  <si>
    <t>Marina Lichtenstein</t>
  </si>
  <si>
    <t>CA-2015-129217</t>
  </si>
  <si>
    <t>CA-2015-140221</t>
  </si>
  <si>
    <t>CA-2015-138457</t>
  </si>
  <si>
    <t>CA-2015-104059</t>
  </si>
  <si>
    <t>CA-2015-143882</t>
  </si>
  <si>
    <t>Dennis Bolton</t>
  </si>
  <si>
    <t>CA-2015-154284</t>
  </si>
  <si>
    <t>Sam Zeldin</t>
  </si>
  <si>
    <t>CA-2015-106362</t>
  </si>
  <si>
    <t>US-2015-158911</t>
  </si>
  <si>
    <t>Roland Schwarz</t>
  </si>
  <si>
    <t>CA-2015-109169</t>
  </si>
  <si>
    <t>Olvera Toch</t>
  </si>
  <si>
    <t>CA-2015-142937</t>
  </si>
  <si>
    <t>US-2015-115238</t>
  </si>
  <si>
    <t>Jane Waco</t>
  </si>
  <si>
    <t>CA-2015-158701</t>
  </si>
  <si>
    <t>James Lanier</t>
  </si>
  <si>
    <t>CA-2015-162964</t>
  </si>
  <si>
    <t>CA-2015-149601</t>
  </si>
  <si>
    <t>CA-2015-133837</t>
  </si>
  <si>
    <t>Thea Hendricks</t>
  </si>
  <si>
    <t>CA-2015-110814</t>
  </si>
  <si>
    <t>Brian Derr</t>
  </si>
  <si>
    <t>CA-2015-134082</t>
  </si>
  <si>
    <t>CA-2015-128356</t>
  </si>
  <si>
    <t>Resi Pölking</t>
  </si>
  <si>
    <t>CA-2015-151470</t>
  </si>
  <si>
    <t>CA-2015-112823</t>
  </si>
  <si>
    <t>CA-2015-169537</t>
  </si>
  <si>
    <t>CA-2015-144043</t>
  </si>
  <si>
    <t>CA-2015-116512</t>
  </si>
  <si>
    <t>CA-2015-101000</t>
  </si>
  <si>
    <t>Ivan Gibson</t>
  </si>
  <si>
    <t>CA-2015-169733</t>
  </si>
  <si>
    <t>CA-2015-145758</t>
  </si>
  <si>
    <t>Barry Französisch</t>
  </si>
  <si>
    <t>CA-2015-109190</t>
  </si>
  <si>
    <t>CA-2015-102316</t>
  </si>
  <si>
    <t>CA-2015-135853</t>
  </si>
  <si>
    <t>CA-2015-122168</t>
  </si>
  <si>
    <t>CA-2015-169677</t>
  </si>
  <si>
    <t>CA-2015-157343</t>
  </si>
  <si>
    <t>Harold Dahlen</t>
  </si>
  <si>
    <t>CA-2015-157287</t>
  </si>
  <si>
    <t>CA-2015-149566</t>
  </si>
  <si>
    <t>CA-2015-126186</t>
  </si>
  <si>
    <t>CA-2015-121132</t>
  </si>
  <si>
    <t>CA-2015-117884</t>
  </si>
  <si>
    <t>Debra Catini</t>
  </si>
  <si>
    <t>CA-2015-164623</t>
  </si>
  <si>
    <t>CA-2015-138492</t>
  </si>
  <si>
    <t>CA-2015-136147</t>
  </si>
  <si>
    <t>CA-2015-156118</t>
  </si>
  <si>
    <t>CA-2015-164084</t>
  </si>
  <si>
    <t>Andy Gerbode</t>
  </si>
  <si>
    <t>CA-2015-108259</t>
  </si>
  <si>
    <t>US-2015-131842</t>
  </si>
  <si>
    <t>Rick Reed</t>
  </si>
  <si>
    <t>CA-2015-131856</t>
  </si>
  <si>
    <t>CA-2015-158918</t>
  </si>
  <si>
    <t>Arianne Irving</t>
  </si>
  <si>
    <t>CA-2015-133494</t>
  </si>
  <si>
    <t>US-2015-145422</t>
  </si>
  <si>
    <t>CA-2015-103870</t>
  </si>
  <si>
    <t>CA-2015-111017</t>
  </si>
  <si>
    <t>CA-2015-113222</t>
  </si>
  <si>
    <t>US-2015-144771</t>
  </si>
  <si>
    <t>CA-2015-162376</t>
  </si>
  <si>
    <t>US-2015-163825</t>
  </si>
  <si>
    <t>CA-2015-107083</t>
  </si>
  <si>
    <t>Brenda Bowman</t>
  </si>
  <si>
    <t>CA-2015-151722</t>
  </si>
  <si>
    <t>CA-2015-132276</t>
  </si>
  <si>
    <t>Lindsay Castell</t>
  </si>
  <si>
    <t>CA-2015-165813</t>
  </si>
  <si>
    <t>CA-2015-133585</t>
  </si>
  <si>
    <t>Craig Molinari</t>
  </si>
  <si>
    <t>CA-2015-169572</t>
  </si>
  <si>
    <t>CA-2015-127754</t>
  </si>
  <si>
    <t>CA-2015-144274</t>
  </si>
  <si>
    <t>CA-2015-142930</t>
  </si>
  <si>
    <t>CA-2015-115399</t>
  </si>
  <si>
    <t>CA-2015-115168</t>
  </si>
  <si>
    <t>CA-2015-145324</t>
  </si>
  <si>
    <t>CA-2015-153423</t>
  </si>
  <si>
    <t>CA-2015-140718</t>
  </si>
  <si>
    <t>US-2015-115343</t>
  </si>
  <si>
    <t>CA-2015-125934</t>
  </si>
  <si>
    <t>CA-2015-158148</t>
  </si>
  <si>
    <t>US-2015-107944</t>
  </si>
  <si>
    <t>Alice McCarthy</t>
  </si>
  <si>
    <t>CA-2015-111038</t>
  </si>
  <si>
    <t>CA-2015-163237</t>
  </si>
  <si>
    <t>CA-2015-109603</t>
  </si>
  <si>
    <t>Elizabeth Moffitt</t>
  </si>
  <si>
    <t>CA-2015-143616</t>
  </si>
  <si>
    <t>Saphhira Shifley</t>
  </si>
  <si>
    <t>US-2015-168704</t>
  </si>
  <si>
    <t>Frank Preis</t>
  </si>
  <si>
    <t>CA-2015-134117</t>
  </si>
  <si>
    <t>CA-2015-150413</t>
  </si>
  <si>
    <t>Cari Schnelling</t>
  </si>
  <si>
    <t>CA-2015-123092</t>
  </si>
  <si>
    <t>Jack Garza</t>
  </si>
  <si>
    <t>US-2015-128587</t>
  </si>
  <si>
    <t>CA-2015-102855</t>
  </si>
  <si>
    <t>CA-2015-137071</t>
  </si>
  <si>
    <t>Emily Ducich</t>
  </si>
  <si>
    <t>CA-2015-129525</t>
  </si>
  <si>
    <t>Victoria Pisteka</t>
  </si>
  <si>
    <t>CA-2015-165799</t>
  </si>
  <si>
    <t>CA-2015-148873</t>
  </si>
  <si>
    <t>CA-2015-166492</t>
  </si>
  <si>
    <t>CA-2015-168760</t>
  </si>
  <si>
    <t>CA-2015-165554</t>
  </si>
  <si>
    <t>Anthony Jacobs</t>
  </si>
  <si>
    <t>CA-2015-128993</t>
  </si>
  <si>
    <t>Craig Carreira</t>
  </si>
  <si>
    <t>CA-2015-160227</t>
  </si>
  <si>
    <t>CA-2015-149097</t>
  </si>
  <si>
    <t>CA-2015-136420</t>
  </si>
  <si>
    <t>CA-2015-136105</t>
  </si>
  <si>
    <t>US-2015-136259</t>
  </si>
  <si>
    <t>Christy Brittain</t>
  </si>
  <si>
    <t>CA-2015-104038</t>
  </si>
  <si>
    <t>CA-2015-150308</t>
  </si>
  <si>
    <t>CA-2015-162950</t>
  </si>
  <si>
    <t>Dorothy Wardle</t>
  </si>
  <si>
    <t>US-2015-132836</t>
  </si>
  <si>
    <t>Ashley Jarboe</t>
  </si>
  <si>
    <t>CA-2015-163181</t>
  </si>
  <si>
    <t>Adrian Barton</t>
  </si>
  <si>
    <t>CA-2015-132941</t>
  </si>
  <si>
    <t>CA-2015-157028</t>
  </si>
  <si>
    <t>Michelle Arnett</t>
  </si>
  <si>
    <t>CA-2015-157805</t>
  </si>
  <si>
    <t>CA-2015-126970</t>
  </si>
  <si>
    <t>Theone Pippenger</t>
  </si>
  <si>
    <t>US-2015-106873</t>
  </si>
  <si>
    <t>CA-2015-164007</t>
  </si>
  <si>
    <t>Maureen Gnade</t>
  </si>
  <si>
    <t>US-2015-130512</t>
  </si>
  <si>
    <t>CA-2015-141810</t>
  </si>
  <si>
    <t>Barry Blumstein</t>
  </si>
  <si>
    <t>CA-2015-167479</t>
  </si>
  <si>
    <t>US-2015-164238</t>
  </si>
  <si>
    <t>Joni Wasserman</t>
  </si>
  <si>
    <t>CA-2015-124499</t>
  </si>
  <si>
    <t>CA-2015-151869</t>
  </si>
  <si>
    <t>Carlos Soltero</t>
  </si>
  <si>
    <t>CA-2015-102778</t>
  </si>
  <si>
    <t>US-2015-163433</t>
  </si>
  <si>
    <t>CA-2015-137603</t>
  </si>
  <si>
    <t>Marc Harrigan</t>
  </si>
  <si>
    <t>CA-2015-111948</t>
  </si>
  <si>
    <t>CA-2015-164497</t>
  </si>
  <si>
    <t>US-2015-153283</t>
  </si>
  <si>
    <t>CA-2015-110324</t>
  </si>
  <si>
    <t>CA-2015-111339</t>
  </si>
  <si>
    <t>CA-2015-126347</t>
  </si>
  <si>
    <t>CA-2015-163734</t>
  </si>
  <si>
    <t>CA-2015-130848</t>
  </si>
  <si>
    <t>CA-2015-167696</t>
  </si>
  <si>
    <t>CA-2015-164777</t>
  </si>
  <si>
    <t>Sean Christensen</t>
  </si>
  <si>
    <t>CA-2015-127824</t>
  </si>
  <si>
    <t>John Castell</t>
  </si>
  <si>
    <t>CA-2015-166219</t>
  </si>
  <si>
    <t>CA-2015-111864</t>
  </si>
  <si>
    <t>CA-2015-119627</t>
  </si>
  <si>
    <t>CA-2015-160787</t>
  </si>
  <si>
    <t>CA-2015-104052</t>
  </si>
  <si>
    <t>Tracy Poddar</t>
  </si>
  <si>
    <t>CA-2015-168277</t>
  </si>
  <si>
    <t>CA-2015-129546</t>
  </si>
  <si>
    <t>CA-2015-100818</t>
  </si>
  <si>
    <t>Janet Molinari</t>
  </si>
  <si>
    <t>CA-2015-158351</t>
  </si>
  <si>
    <t>Becky Castell</t>
  </si>
  <si>
    <t>CA-2015-156566</t>
  </si>
  <si>
    <t>US-2015-158589</t>
  </si>
  <si>
    <t>CA-2015-123939</t>
  </si>
  <si>
    <t>CA-2015-135727</t>
  </si>
  <si>
    <t>CA-2015-135251</t>
  </si>
  <si>
    <t>CA-2015-160864</t>
  </si>
  <si>
    <t>CA-2015-147690</t>
  </si>
  <si>
    <t>Sam Craven</t>
  </si>
  <si>
    <t>CA-2015-163923</t>
  </si>
  <si>
    <t>Brendan Dodson</t>
  </si>
  <si>
    <t>CA-2015-111612</t>
  </si>
  <si>
    <t>CA-2015-156853</t>
  </si>
  <si>
    <t>CA-2015-161242</t>
  </si>
  <si>
    <t>Catherine Glotzbach</t>
  </si>
  <si>
    <t>CA-2015-113131</t>
  </si>
  <si>
    <t>CA-2015-148495</t>
  </si>
  <si>
    <t>CA-2015-143147</t>
  </si>
  <si>
    <t>Pamela Stobb</t>
  </si>
  <si>
    <t>CA-2015-149517</t>
  </si>
  <si>
    <t>CA-2015-116841</t>
  </si>
  <si>
    <t>CA-2015-138625</t>
  </si>
  <si>
    <t>Emily Grady</t>
  </si>
  <si>
    <t>CA-2015-116638</t>
  </si>
  <si>
    <t>US-2015-120957</t>
  </si>
  <si>
    <t>CA-2015-133396</t>
  </si>
  <si>
    <t>CA-2015-130113</t>
  </si>
  <si>
    <t>Aaron Hawkins</t>
  </si>
  <si>
    <t>CA-2015-130183</t>
  </si>
  <si>
    <t>CA-2015-107902</t>
  </si>
  <si>
    <t>CA-2015-117898</t>
  </si>
  <si>
    <t>US-2015-100069</t>
  </si>
  <si>
    <t>Neil Französisch</t>
  </si>
  <si>
    <t>CA-2015-117086</t>
  </si>
  <si>
    <t>CA-2015-149748</t>
  </si>
  <si>
    <t>CA-2015-155635</t>
  </si>
  <si>
    <t>CA-2015-128608</t>
  </si>
  <si>
    <t>Cindy Schnelling</t>
  </si>
  <si>
    <t>CA-2015-122973</t>
  </si>
  <si>
    <t>Pauline Johnson</t>
  </si>
  <si>
    <t>CA-2015-162201</t>
  </si>
  <si>
    <t>CA-2015-164301</t>
  </si>
  <si>
    <t>Ellis Ballard</t>
  </si>
  <si>
    <t>US-2015-116981</t>
  </si>
  <si>
    <t>CA-2015-130855</t>
  </si>
  <si>
    <t>Roy Französisch</t>
  </si>
  <si>
    <t>CA-2015-104297</t>
  </si>
  <si>
    <t>CA-2015-127544</t>
  </si>
  <si>
    <t>US-2015-129007</t>
  </si>
  <si>
    <t>Ken Dana</t>
  </si>
  <si>
    <t>CA-2015-132388</t>
  </si>
  <si>
    <t>CA-2015-105508</t>
  </si>
  <si>
    <t>Jamie Frazer</t>
  </si>
  <si>
    <t>CA-2015-159534</t>
  </si>
  <si>
    <t>CA-2015-104948</t>
  </si>
  <si>
    <t>CA-2015-145415</t>
  </si>
  <si>
    <t>CA-2015-141593</t>
  </si>
  <si>
    <t>Darren Budd</t>
  </si>
  <si>
    <t>CA-2015-168088</t>
  </si>
  <si>
    <t>CA-2015-143700</t>
  </si>
  <si>
    <t>CA-2015-103772</t>
  </si>
  <si>
    <t>US-2015-151435</t>
  </si>
  <si>
    <t>CA-2015-100251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</si>
</sst>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.yyyy"/>
  </numFmts>
  <fonts count="14">
    <font>
      <sz val="10.0"/>
      <color rgb="FF000000"/>
      <name val="Arial"/>
      <scheme val="minor"/>
    </font>
    <font>
      <b/>
      <sz val="10.0"/>
      <color rgb="FF000000"/>
      <name val="Calibri"/>
    </font>
    <font>
      <b/>
      <i/>
      <sz val="10.0"/>
      <color rgb="FF666666"/>
      <name val="Calibri"/>
    </font>
    <font>
      <sz val="10.0"/>
      <color theme="1"/>
      <name val="Calibri"/>
    </font>
    <font>
      <u/>
      <color rgb="FF1155CC"/>
      <name val="Arial"/>
    </font>
    <font>
      <b/>
      <sz val="10.0"/>
      <color rgb="FFFFFFFF"/>
      <name val="Calibri"/>
    </font>
    <font>
      <b/>
      <sz val="10.0"/>
      <color theme="1"/>
      <name val="Calibri"/>
    </font>
    <font>
      <sz val="10.0"/>
      <color rgb="FF000000"/>
      <name val="Calibri"/>
    </font>
    <font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u/>
      <color rgb="FF1155CC"/>
      <name val="Arial"/>
    </font>
    <font>
      <b/>
      <sz val="14.0"/>
      <color theme="1"/>
      <name val="Calibri"/>
    </font>
    <font>
      <sz val="14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4A86E8"/>
        <bgColor rgb="FF4A86E8"/>
      </patternFill>
    </fill>
    <fill>
      <patternFill patternType="solid">
        <fgColor rgb="FFFF6D01"/>
        <bgColor rgb="FFFF6D01"/>
      </patternFill>
    </fill>
    <fill>
      <patternFill patternType="solid">
        <fgColor rgb="FFCCCCCC"/>
        <bgColor rgb="FFCCCC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3" fontId="1" numFmtId="0" xfId="0" applyAlignment="1" applyFill="1" applyFont="1">
      <alignment horizontal="center" readingOrder="0" shrinkToFit="0" vertical="bottom" wrapText="0"/>
    </xf>
    <xf borderId="0" fillId="2" fontId="2" numFmtId="0" xfId="0" applyAlignment="1" applyFont="1">
      <alignment horizontal="center" readingOrder="0" shrinkToFit="0" vertical="bottom" wrapText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vertical="bottom"/>
    </xf>
    <xf borderId="0" fillId="4" fontId="5" numFmtId="0" xfId="0" applyAlignment="1" applyFill="1" applyFont="1">
      <alignment vertical="bottom"/>
    </xf>
    <xf borderId="0" fillId="0" fontId="3" numFmtId="0" xfId="0" applyFont="1"/>
    <xf borderId="0" fillId="2" fontId="1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2" fontId="2" numFmtId="0" xfId="0" applyAlignment="1" applyFont="1">
      <alignment horizontal="left" readingOrder="0" shrinkToFit="0" vertical="bottom" wrapText="0"/>
    </xf>
    <xf borderId="1" fillId="2" fontId="6" numFmtId="0" xfId="0" applyAlignment="1" applyBorder="1" applyFont="1">
      <alignment horizontal="center" vertical="bottom"/>
    </xf>
    <xf borderId="2" fillId="0" fontId="7" numFmtId="0" xfId="0" applyAlignment="1" applyBorder="1" applyFont="1">
      <alignment horizontal="center" readingOrder="0" shrinkToFit="0" vertical="bottom" wrapText="0"/>
    </xf>
    <xf borderId="3" fillId="0" fontId="7" numFmtId="164" xfId="0" applyAlignment="1" applyBorder="1" applyFont="1" applyNumberFormat="1">
      <alignment horizontal="center" readingOrder="0" shrinkToFit="0" vertical="bottom" wrapText="0"/>
    </xf>
    <xf borderId="3" fillId="0" fontId="7" numFmtId="0" xfId="0" applyAlignment="1" applyBorder="1" applyFont="1">
      <alignment horizontal="center" readingOrder="0" shrinkToFit="0" vertical="bottom" wrapText="0"/>
    </xf>
    <xf borderId="0" fillId="0" fontId="3" numFmtId="4" xfId="0" applyAlignment="1" applyFont="1" applyNumberFormat="1">
      <alignment vertical="bottom"/>
    </xf>
    <xf borderId="0" fillId="0" fontId="6" numFmtId="4" xfId="0" applyFont="1" applyNumberFormat="1"/>
    <xf borderId="3" fillId="0" fontId="7" numFmtId="165" xfId="0" applyAlignment="1" applyBorder="1" applyFont="1" applyNumberFormat="1">
      <alignment horizontal="center" readingOrder="0" shrinkToFit="0" vertical="bottom" wrapText="0"/>
    </xf>
    <xf borderId="0" fillId="5" fontId="5" numFmtId="4" xfId="0" applyAlignment="1" applyFill="1" applyFont="1" applyNumberFormat="1">
      <alignment vertical="bottom"/>
    </xf>
    <xf borderId="0" fillId="0" fontId="3" numFmtId="0" xfId="0" applyAlignment="1" applyFont="1">
      <alignment horizontal="center"/>
    </xf>
    <xf borderId="2" fillId="0" fontId="7" numFmtId="164" xfId="0" applyAlignment="1" applyBorder="1" applyFont="1" applyNumberFormat="1">
      <alignment horizontal="center" readingOrder="0" shrinkToFit="0" vertical="bottom" wrapText="0"/>
    </xf>
    <xf borderId="2" fillId="0" fontId="7" numFmtId="165" xfId="0" applyAlignment="1" applyBorder="1" applyFont="1" applyNumberFormat="1">
      <alignment horizontal="center" readingOrder="0" shrinkToFit="0" vertical="bottom" wrapText="0"/>
    </xf>
    <xf borderId="1" fillId="6" fontId="8" numFmtId="0" xfId="0" applyBorder="1" applyFill="1" applyFont="1"/>
    <xf borderId="0" fillId="0" fontId="9" numFmtId="0" xfId="0" applyFont="1"/>
    <xf borderId="0" fillId="0" fontId="10" numFmtId="0" xfId="0" applyFont="1"/>
    <xf borderId="0" fillId="0" fontId="10" numFmtId="164" xfId="0" applyFont="1" applyNumberFormat="1"/>
    <xf borderId="1" fillId="0" fontId="11" numFmtId="0" xfId="0" applyAlignment="1" applyBorder="1" applyFont="1">
      <alignment readingOrder="0" vertical="bottom"/>
    </xf>
    <xf borderId="0" fillId="0" fontId="10" numFmtId="165" xfId="0" applyFont="1" applyNumberFormat="1"/>
    <xf borderId="1" fillId="2" fontId="12" numFmtId="0" xfId="0" applyAlignment="1" applyBorder="1" applyFont="1">
      <alignment horizontal="center" vertical="bottom"/>
    </xf>
    <xf borderId="0" fillId="0" fontId="13" numFmtId="0" xfId="0" applyAlignment="1" applyFont="1">
      <alignment vertical="bottom"/>
    </xf>
    <xf borderId="0" fillId="0" fontId="13" numFmtId="164" xfId="0" applyAlignment="1" applyFont="1" applyNumberFormat="1">
      <alignment horizontal="right" vertical="bottom"/>
    </xf>
    <xf borderId="0" fillId="0" fontId="13" numFmtId="0" xfId="0" applyAlignment="1" applyFont="1">
      <alignment horizontal="right" vertical="bottom"/>
    </xf>
    <xf borderId="0" fillId="0" fontId="13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WSNNUhzyVLVsyjsEwV--mF-YCSt3FN4CXqvAoLCjkIs/edit?usp=sharing" TargetMode="External"/><Relationship Id="rId2" Type="http://schemas.openxmlformats.org/officeDocument/2006/relationships/hyperlink" Target="https://docs.google.com/spreadsheets/d/1DY54SG1pJjeT2Q97BgEcHSB2Q244E3Y7VpIgf3qQdNA/edit?usp=sharing" TargetMode="External"/><Relationship Id="rId3" Type="http://schemas.openxmlformats.org/officeDocument/2006/relationships/hyperlink" Target="https://docs.google.com/spreadsheets/d/1EOhysyP6wMZFAMjkqgncI8Yy7UJHXHuntFAWwdXXNp4/edit?usp=sharing" TargetMode="External"/><Relationship Id="rId4" Type="http://schemas.openxmlformats.org/officeDocument/2006/relationships/hyperlink" Target="https://docs.google.com/spreadsheets/d/1vKehoI6ITw95B4VXms0qYaGMHhg7-4UR4Ri1RJqwhBU/edit?usp=sharing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16.5"/>
    <col customWidth="1" min="3" max="8" width="13.13"/>
    <col customWidth="1" min="9" max="9" width="17.75"/>
    <col customWidth="1" min="10" max="10" width="11.75"/>
    <col customWidth="1" min="11" max="11" width="7.0"/>
    <col customWidth="1" min="12" max="12" width="65.25"/>
    <col customWidth="1" min="14" max="14" width="4.63"/>
  </cols>
  <sheetData>
    <row r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3"/>
      <c r="K1" s="6" t="s">
        <v>2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>
      <c r="A2" s="8"/>
      <c r="B2" s="2" t="s">
        <v>3</v>
      </c>
      <c r="C2" s="3"/>
      <c r="D2" s="3"/>
      <c r="E2" s="3"/>
      <c r="F2" s="3"/>
      <c r="G2" s="3"/>
      <c r="H2" s="4" t="s">
        <v>4</v>
      </c>
      <c r="I2" s="5"/>
      <c r="J2" s="3"/>
      <c r="K2" s="9" t="s">
        <v>5</v>
      </c>
      <c r="L2" s="10" t="s">
        <v>6</v>
      </c>
      <c r="M2" s="7"/>
      <c r="N2" s="7"/>
      <c r="O2" s="7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>
      <c r="A3" s="8"/>
      <c r="B3" s="1"/>
      <c r="C3" s="3"/>
      <c r="D3" s="3"/>
      <c r="E3" s="3"/>
      <c r="F3" s="3"/>
      <c r="G3" s="3"/>
      <c r="H3" s="4" t="s">
        <v>7</v>
      </c>
      <c r="I3" s="5"/>
      <c r="J3" s="3"/>
      <c r="K3" s="9" t="s">
        <v>8</v>
      </c>
      <c r="L3" s="10" t="s">
        <v>9</v>
      </c>
      <c r="M3" s="7"/>
      <c r="N3" s="7"/>
      <c r="O3" s="7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>
      <c r="A4" s="8"/>
      <c r="B4" s="1"/>
      <c r="C4" s="3"/>
      <c r="D4" s="3"/>
      <c r="E4" s="3"/>
      <c r="F4" s="3"/>
      <c r="G4" s="3"/>
      <c r="H4" s="4" t="s">
        <v>10</v>
      </c>
      <c r="I4" s="5"/>
      <c r="J4" s="3"/>
      <c r="K4" s="9"/>
      <c r="L4" s="9"/>
      <c r="M4" s="7"/>
      <c r="N4" s="7"/>
      <c r="O4" s="7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>
      <c r="A5" s="8"/>
      <c r="B5" s="1"/>
      <c r="C5" s="3"/>
      <c r="D5" s="3"/>
      <c r="E5" s="3"/>
      <c r="F5" s="3"/>
      <c r="G5" s="3"/>
      <c r="H5" s="3"/>
      <c r="I5" s="3"/>
      <c r="J5" s="3"/>
      <c r="K5" s="9"/>
      <c r="L5" s="9"/>
      <c r="M5" s="7"/>
      <c r="N5" s="7"/>
      <c r="O5" s="7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>
      <c r="A6" s="8"/>
      <c r="B6" s="3"/>
      <c r="C6" s="3"/>
      <c r="D6" s="1" t="s">
        <v>11</v>
      </c>
      <c r="E6" s="3"/>
      <c r="F6" s="3"/>
      <c r="G6" s="3"/>
      <c r="H6" s="3"/>
      <c r="I6" s="3"/>
      <c r="J6" s="3"/>
      <c r="K6" s="9"/>
      <c r="L6" s="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>
      <c r="A7" s="12"/>
      <c r="B7" s="13" t="s">
        <v>12</v>
      </c>
      <c r="C7" s="13" t="s">
        <v>13</v>
      </c>
      <c r="D7" s="13" t="s">
        <v>14</v>
      </c>
      <c r="E7" s="13" t="s">
        <v>15</v>
      </c>
      <c r="F7" s="13" t="s">
        <v>16</v>
      </c>
      <c r="G7" s="13" t="s">
        <v>17</v>
      </c>
      <c r="H7" s="13" t="s">
        <v>18</v>
      </c>
      <c r="I7" s="13" t="s">
        <v>19</v>
      </c>
      <c r="J7" s="3"/>
      <c r="K7" s="9"/>
      <c r="L7" s="9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>
      <c r="A8" s="12"/>
      <c r="B8" s="14" t="str">
        <f>IFERROR(__xludf.DUMMYFUNCTION("FILTER('Дані Продажі'!A:H,'Дані Продажі'!C:C=D6)"),"CA-2014-115812")</f>
        <v>CA-2014-115812</v>
      </c>
      <c r="C8" s="15">
        <f>IFERROR(__xludf.DUMMYFUNCTION("""COMPUTED_VALUE"""),41799.0)</f>
        <v>41799</v>
      </c>
      <c r="D8" s="16" t="str">
        <f>IFERROR(__xludf.DUMMYFUNCTION("""COMPUTED_VALUE"""),"Consumer")</f>
        <v>Consumer</v>
      </c>
      <c r="E8" s="16" t="str">
        <f>IFERROR(__xludf.DUMMYFUNCTION("""COMPUTED_VALUE"""),"California")</f>
        <v>California</v>
      </c>
      <c r="F8" s="16" t="str">
        <f>IFERROR(__xludf.DUMMYFUNCTION("""COMPUTED_VALUE"""),"West")</f>
        <v>West</v>
      </c>
      <c r="G8" s="16">
        <f>IFERROR(__xludf.DUMMYFUNCTION("""COMPUTED_VALUE"""),48.86)</f>
        <v>48.86</v>
      </c>
      <c r="H8" s="16">
        <f>IFERROR(__xludf.DUMMYFUNCTION("""COMPUTED_VALUE"""),7.0)</f>
        <v>7</v>
      </c>
      <c r="I8" s="16">
        <f>IFERROR(__xludf.DUMMYFUNCTION("""COMPUTED_VALUE"""),14.1694)</f>
        <v>14.1694</v>
      </c>
      <c r="J8" s="3"/>
      <c r="K8" s="17"/>
      <c r="L8" s="9"/>
      <c r="M8" s="7"/>
      <c r="N8" s="7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>
      <c r="A9" s="12"/>
      <c r="B9" s="14" t="str">
        <f>IFERROR(__xludf.DUMMYFUNCTION("""COMPUTED_VALUE"""),"CA-2014-105893")</f>
        <v>CA-2014-105893</v>
      </c>
      <c r="C9" s="19">
        <f>IFERROR(__xludf.DUMMYFUNCTION("""COMPUTED_VALUE"""),41954.0)</f>
        <v>41954</v>
      </c>
      <c r="D9" s="16" t="str">
        <f>IFERROR(__xludf.DUMMYFUNCTION("""COMPUTED_VALUE"""),"Consumer")</f>
        <v>Consumer</v>
      </c>
      <c r="E9" s="16" t="str">
        <f>IFERROR(__xludf.DUMMYFUNCTION("""COMPUTED_VALUE"""),"Wisconsin")</f>
        <v>Wisconsin</v>
      </c>
      <c r="F9" s="16" t="str">
        <f>IFERROR(__xludf.DUMMYFUNCTION("""COMPUTED_VALUE"""),"Central")</f>
        <v>Central</v>
      </c>
      <c r="G9" s="16">
        <f>IFERROR(__xludf.DUMMYFUNCTION("""COMPUTED_VALUE"""),665.88)</f>
        <v>665.88</v>
      </c>
      <c r="H9" s="16">
        <f>IFERROR(__xludf.DUMMYFUNCTION("""COMPUTED_VALUE"""),6.0)</f>
        <v>6</v>
      </c>
      <c r="I9" s="16">
        <f>IFERROR(__xludf.DUMMYFUNCTION("""COMPUTED_VALUE"""),13.3176)</f>
        <v>13.3176</v>
      </c>
      <c r="J9" s="3"/>
      <c r="K9" s="20" t="s">
        <v>20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>
      <c r="A10" s="12"/>
      <c r="B10" s="14" t="str">
        <f>IFERROR(__xludf.DUMMYFUNCTION("""COMPUTED_VALUE"""),"CA-2014-167164")</f>
        <v>CA-2014-167164</v>
      </c>
      <c r="C10" s="15">
        <f>IFERROR(__xludf.DUMMYFUNCTION("""COMPUTED_VALUE"""),41772.0)</f>
        <v>41772</v>
      </c>
      <c r="D10" s="16" t="str">
        <f>IFERROR(__xludf.DUMMYFUNCTION("""COMPUTED_VALUE"""),"Consumer")</f>
        <v>Consumer</v>
      </c>
      <c r="E10" s="16" t="str">
        <f>IFERROR(__xludf.DUMMYFUNCTION("""COMPUTED_VALUE"""),"Utah")</f>
        <v>Utah</v>
      </c>
      <c r="F10" s="16" t="str">
        <f>IFERROR(__xludf.DUMMYFUNCTION("""COMPUTED_VALUE"""),"West")</f>
        <v>West</v>
      </c>
      <c r="G10" s="16">
        <f>IFERROR(__xludf.DUMMYFUNCTION("""COMPUTED_VALUE"""),55.5)</f>
        <v>55.5</v>
      </c>
      <c r="H10" s="16">
        <f>IFERROR(__xludf.DUMMYFUNCTION("""COMPUTED_VALUE"""),2.0)</f>
        <v>2</v>
      </c>
      <c r="I10" s="16">
        <f>IFERROR(__xludf.DUMMYFUNCTION("""COMPUTED_VALUE"""),9.99)</f>
        <v>9.99</v>
      </c>
      <c r="J10" s="3"/>
      <c r="K10" s="17" t="s">
        <v>5</v>
      </c>
      <c r="L10" s="10" t="s">
        <v>21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>
      <c r="A11" s="12"/>
      <c r="B11" s="14" t="str">
        <f>IFERROR(__xludf.DUMMYFUNCTION("""COMPUTED_VALUE"""),"CA-2014-143336")</f>
        <v>CA-2014-143336</v>
      </c>
      <c r="C11" s="15">
        <f>IFERROR(__xludf.DUMMYFUNCTION("""COMPUTED_VALUE"""),41878.0)</f>
        <v>41878</v>
      </c>
      <c r="D11" s="16" t="str">
        <f>IFERROR(__xludf.DUMMYFUNCTION("""COMPUTED_VALUE"""),"Consumer")</f>
        <v>Consumer</v>
      </c>
      <c r="E11" s="16" t="str">
        <f>IFERROR(__xludf.DUMMYFUNCTION("""COMPUTED_VALUE"""),"California")</f>
        <v>California</v>
      </c>
      <c r="F11" s="16" t="str">
        <f>IFERROR(__xludf.DUMMYFUNCTION("""COMPUTED_VALUE"""),"West")</f>
        <v>West</v>
      </c>
      <c r="G11" s="16">
        <f>IFERROR(__xludf.DUMMYFUNCTION("""COMPUTED_VALUE"""),8.56)</f>
        <v>8.56</v>
      </c>
      <c r="H11" s="16">
        <f>IFERROR(__xludf.DUMMYFUNCTION("""COMPUTED_VALUE"""),2.0)</f>
        <v>2</v>
      </c>
      <c r="I11" s="16">
        <f>IFERROR(__xludf.DUMMYFUNCTION("""COMPUTED_VALUE"""),2.4824)</f>
        <v>2.4824</v>
      </c>
      <c r="J11" s="3"/>
      <c r="K11" s="21"/>
      <c r="L11" s="21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>
      <c r="A12" s="12"/>
      <c r="B12" s="14" t="str">
        <f>IFERROR(__xludf.DUMMYFUNCTION("""COMPUTED_VALUE"""),"CA-2014-146703")</f>
        <v>CA-2014-146703</v>
      </c>
      <c r="C12" s="19">
        <f>IFERROR(__xludf.DUMMYFUNCTION("""COMPUTED_VALUE"""),41932.0)</f>
        <v>41932</v>
      </c>
      <c r="D12" s="16" t="str">
        <f>IFERROR(__xludf.DUMMYFUNCTION("""COMPUTED_VALUE"""),"Consumer")</f>
        <v>Consumer</v>
      </c>
      <c r="E12" s="16" t="str">
        <f>IFERROR(__xludf.DUMMYFUNCTION("""COMPUTED_VALUE"""),"Michigan")</f>
        <v>Michigan</v>
      </c>
      <c r="F12" s="16" t="str">
        <f>IFERROR(__xludf.DUMMYFUNCTION("""COMPUTED_VALUE"""),"Central")</f>
        <v>Central</v>
      </c>
      <c r="G12" s="16">
        <f>IFERROR(__xludf.DUMMYFUNCTION("""COMPUTED_VALUE"""),211.96)</f>
        <v>211.96</v>
      </c>
      <c r="H12" s="16">
        <f>IFERROR(__xludf.DUMMYFUNCTION("""COMPUTED_VALUE"""),4.0)</f>
        <v>4</v>
      </c>
      <c r="I12" s="16">
        <f>IFERROR(__xludf.DUMMYFUNCTION("""COMPUTED_VALUE"""),8.4784)</f>
        <v>8.4784</v>
      </c>
      <c r="J12" s="3"/>
      <c r="K12" s="21"/>
      <c r="L12" s="21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>
      <c r="A13" s="12"/>
      <c r="B13" s="14" t="str">
        <f>IFERROR(__xludf.DUMMYFUNCTION("""COMPUTED_VALUE"""),"US-2014-147606")</f>
        <v>US-2014-147606</v>
      </c>
      <c r="C13" s="19">
        <f>IFERROR(__xludf.DUMMYFUNCTION("""COMPUTED_VALUE"""),41969.0)</f>
        <v>41969</v>
      </c>
      <c r="D13" s="16" t="str">
        <f>IFERROR(__xludf.DUMMYFUNCTION("""COMPUTED_VALUE"""),"Consumer")</f>
        <v>Consumer</v>
      </c>
      <c r="E13" s="16" t="str">
        <f>IFERROR(__xludf.DUMMYFUNCTION("""COMPUTED_VALUE"""),"Texas")</f>
        <v>Texas</v>
      </c>
      <c r="F13" s="16" t="str">
        <f>IFERROR(__xludf.DUMMYFUNCTION("""COMPUTED_VALUE"""),"Central")</f>
        <v>Central</v>
      </c>
      <c r="G13" s="16">
        <f>IFERROR(__xludf.DUMMYFUNCTION("""COMPUTED_VALUE"""),19.3)</f>
        <v>19.3</v>
      </c>
      <c r="H13" s="16">
        <f>IFERROR(__xludf.DUMMYFUNCTION("""COMPUTED_VALUE"""),5.0)</f>
        <v>5</v>
      </c>
      <c r="I13" s="16">
        <f>IFERROR(__xludf.DUMMYFUNCTION("""COMPUTED_VALUE"""),-14.475)</f>
        <v>-14.475</v>
      </c>
      <c r="J13" s="3"/>
      <c r="K13" s="21"/>
      <c r="L13" s="21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>
      <c r="A14" s="12"/>
      <c r="B14" s="14" t="str">
        <f>IFERROR(__xludf.DUMMYFUNCTION("""COMPUTED_VALUE"""),"CA-2014-139451")</f>
        <v>CA-2014-139451</v>
      </c>
      <c r="C14" s="19">
        <f>IFERROR(__xludf.DUMMYFUNCTION("""COMPUTED_VALUE"""),41924.0)</f>
        <v>41924</v>
      </c>
      <c r="D14" s="16" t="str">
        <f>IFERROR(__xludf.DUMMYFUNCTION("""COMPUTED_VALUE"""),"Consumer")</f>
        <v>Consumer</v>
      </c>
      <c r="E14" s="16" t="str">
        <f>IFERROR(__xludf.DUMMYFUNCTION("""COMPUTED_VALUE"""),"California")</f>
        <v>California</v>
      </c>
      <c r="F14" s="16" t="str">
        <f>IFERROR(__xludf.DUMMYFUNCTION("""COMPUTED_VALUE"""),"West")</f>
        <v>West</v>
      </c>
      <c r="G14" s="16">
        <f>IFERROR(__xludf.DUMMYFUNCTION("""COMPUTED_VALUE"""),14.9)</f>
        <v>14.9</v>
      </c>
      <c r="H14" s="16">
        <f>IFERROR(__xludf.DUMMYFUNCTION("""COMPUTED_VALUE"""),5.0)</f>
        <v>5</v>
      </c>
      <c r="I14" s="16">
        <f>IFERROR(__xludf.DUMMYFUNCTION("""COMPUTED_VALUE"""),4.172)</f>
        <v>4.172</v>
      </c>
      <c r="J14" s="3"/>
      <c r="K14" s="21"/>
      <c r="L14" s="21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>
      <c r="A15" s="12"/>
      <c r="B15" s="14" t="str">
        <f>IFERROR(__xludf.DUMMYFUNCTION("""COMPUTED_VALUE"""),"CA-2014-115259")</f>
        <v>CA-2014-115259</v>
      </c>
      <c r="C15" s="15">
        <f>IFERROR(__xludf.DUMMYFUNCTION("""COMPUTED_VALUE"""),41876.0)</f>
        <v>41876</v>
      </c>
      <c r="D15" s="16" t="str">
        <f>IFERROR(__xludf.DUMMYFUNCTION("""COMPUTED_VALUE"""),"Consumer")</f>
        <v>Consumer</v>
      </c>
      <c r="E15" s="16" t="str">
        <f>IFERROR(__xludf.DUMMYFUNCTION("""COMPUTED_VALUE"""),"Ohio")</f>
        <v>Ohio</v>
      </c>
      <c r="F15" s="16" t="str">
        <f>IFERROR(__xludf.DUMMYFUNCTION("""COMPUTED_VALUE"""),"East")</f>
        <v>East</v>
      </c>
      <c r="G15" s="16">
        <f>IFERROR(__xludf.DUMMYFUNCTION("""COMPUTED_VALUE"""),40.096)</f>
        <v>40.096</v>
      </c>
      <c r="H15" s="16">
        <f>IFERROR(__xludf.DUMMYFUNCTION("""COMPUTED_VALUE"""),14.0)</f>
        <v>14</v>
      </c>
      <c r="I15" s="16">
        <f>IFERROR(__xludf.DUMMYFUNCTION("""COMPUTED_VALUE"""),14.5348)</f>
        <v>14.5348</v>
      </c>
      <c r="J15" s="3"/>
      <c r="K15" s="21"/>
      <c r="L15" s="21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>
      <c r="A16" s="12"/>
      <c r="B16" s="14" t="str">
        <f>IFERROR(__xludf.DUMMYFUNCTION("""COMPUTED_VALUE"""),"US-2014-134614")</f>
        <v>US-2014-134614</v>
      </c>
      <c r="C16" s="15">
        <f>IFERROR(__xludf.DUMMYFUNCTION("""COMPUTED_VALUE"""),41902.0)</f>
        <v>41902</v>
      </c>
      <c r="D16" s="16" t="str">
        <f>IFERROR(__xludf.DUMMYFUNCTION("""COMPUTED_VALUE"""),"Consumer")</f>
        <v>Consumer</v>
      </c>
      <c r="E16" s="16" t="str">
        <f>IFERROR(__xludf.DUMMYFUNCTION("""COMPUTED_VALUE"""),"Illinois")</f>
        <v>Illinois</v>
      </c>
      <c r="F16" s="16" t="str">
        <f>IFERROR(__xludf.DUMMYFUNCTION("""COMPUTED_VALUE"""),"Central")</f>
        <v>Central</v>
      </c>
      <c r="G16" s="16">
        <f>IFERROR(__xludf.DUMMYFUNCTION("""COMPUTED_VALUE"""),617.7)</f>
        <v>617.7</v>
      </c>
      <c r="H16" s="16">
        <f>IFERROR(__xludf.DUMMYFUNCTION("""COMPUTED_VALUE"""),6.0)</f>
        <v>6</v>
      </c>
      <c r="I16" s="16">
        <f>IFERROR(__xludf.DUMMYFUNCTION("""COMPUTED_VALUE"""),-407.682)</f>
        <v>-407.682</v>
      </c>
      <c r="J16" s="3"/>
      <c r="K16" s="21"/>
      <c r="L16" s="21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>
      <c r="A17" s="12"/>
      <c r="B17" s="14" t="str">
        <f>IFERROR(__xludf.DUMMYFUNCTION("""COMPUTED_VALUE"""),"CA-2014-104269")</f>
        <v>CA-2014-104269</v>
      </c>
      <c r="C17" s="15">
        <f>IFERROR(__xludf.DUMMYFUNCTION("""COMPUTED_VALUE"""),41699.0)</f>
        <v>41699</v>
      </c>
      <c r="D17" s="16" t="str">
        <f>IFERROR(__xludf.DUMMYFUNCTION("""COMPUTED_VALUE"""),"Consumer")</f>
        <v>Consumer</v>
      </c>
      <c r="E17" s="16" t="str">
        <f>IFERROR(__xludf.DUMMYFUNCTION("""COMPUTED_VALUE"""),"Washington")</f>
        <v>Washington</v>
      </c>
      <c r="F17" s="16" t="str">
        <f>IFERROR(__xludf.DUMMYFUNCTION("""COMPUTED_VALUE"""),"West")</f>
        <v>West</v>
      </c>
      <c r="G17" s="16">
        <f>IFERROR(__xludf.DUMMYFUNCTION("""COMPUTED_VALUE"""),457.568)</f>
        <v>457.568</v>
      </c>
      <c r="H17" s="16">
        <f>IFERROR(__xludf.DUMMYFUNCTION("""COMPUTED_VALUE"""),2.0)</f>
        <v>2</v>
      </c>
      <c r="I17" s="16">
        <f>IFERROR(__xludf.DUMMYFUNCTION("""COMPUTED_VALUE"""),51.4764)</f>
        <v>51.4764</v>
      </c>
      <c r="J17" s="3"/>
      <c r="K17" s="21"/>
      <c r="L17" s="21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>
      <c r="A18" s="12"/>
      <c r="B18" s="14" t="str">
        <f>IFERROR(__xludf.DUMMYFUNCTION("""COMPUTED_VALUE"""),"CA-2014-139892")</f>
        <v>CA-2014-139892</v>
      </c>
      <c r="C18" s="15">
        <f>IFERROR(__xludf.DUMMYFUNCTION("""COMPUTED_VALUE"""),41890.0)</f>
        <v>41890</v>
      </c>
      <c r="D18" s="16" t="str">
        <f>IFERROR(__xludf.DUMMYFUNCTION("""COMPUTED_VALUE"""),"Consumer")</f>
        <v>Consumer</v>
      </c>
      <c r="E18" s="16" t="str">
        <f>IFERROR(__xludf.DUMMYFUNCTION("""COMPUTED_VALUE"""),"Texas")</f>
        <v>Texas</v>
      </c>
      <c r="F18" s="16" t="str">
        <f>IFERROR(__xludf.DUMMYFUNCTION("""COMPUTED_VALUE"""),"Central")</f>
        <v>Central</v>
      </c>
      <c r="G18" s="16">
        <f>IFERROR(__xludf.DUMMYFUNCTION("""COMPUTED_VALUE"""),9.936)</f>
        <v>9.936</v>
      </c>
      <c r="H18" s="16">
        <f>IFERROR(__xludf.DUMMYFUNCTION("""COMPUTED_VALUE"""),3.0)</f>
        <v>3</v>
      </c>
      <c r="I18" s="16">
        <f>IFERROR(__xludf.DUMMYFUNCTION("""COMPUTED_VALUE"""),2.7324)</f>
        <v>2.7324</v>
      </c>
      <c r="J18" s="3"/>
      <c r="K18" s="21"/>
      <c r="L18" s="21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>
      <c r="A19" s="12"/>
      <c r="B19" s="14" t="str">
        <f>IFERROR(__xludf.DUMMYFUNCTION("""COMPUTED_VALUE"""),"CA-2014-118962")</f>
        <v>CA-2014-118962</v>
      </c>
      <c r="C19" s="22">
        <f>IFERROR(__xludf.DUMMYFUNCTION("""COMPUTED_VALUE"""),41856.0)</f>
        <v>41856</v>
      </c>
      <c r="D19" s="14" t="str">
        <f>IFERROR(__xludf.DUMMYFUNCTION("""COMPUTED_VALUE"""),"Consumer")</f>
        <v>Consumer</v>
      </c>
      <c r="E19" s="14" t="str">
        <f>IFERROR(__xludf.DUMMYFUNCTION("""COMPUTED_VALUE"""),"California")</f>
        <v>California</v>
      </c>
      <c r="F19" s="14" t="str">
        <f>IFERROR(__xludf.DUMMYFUNCTION("""COMPUTED_VALUE"""),"West")</f>
        <v>West</v>
      </c>
      <c r="G19" s="14">
        <f>IFERROR(__xludf.DUMMYFUNCTION("""COMPUTED_VALUE"""),20.94)</f>
        <v>20.94</v>
      </c>
      <c r="H19" s="14">
        <f>IFERROR(__xludf.DUMMYFUNCTION("""COMPUTED_VALUE"""),3.0)</f>
        <v>3</v>
      </c>
      <c r="I19" s="14">
        <f>IFERROR(__xludf.DUMMYFUNCTION("""COMPUTED_VALUE"""),9.8418)</f>
        <v>9.8418</v>
      </c>
      <c r="J19" s="3"/>
      <c r="K19" s="21"/>
      <c r="L19" s="21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>
      <c r="A20" s="12"/>
      <c r="B20" s="14" t="str">
        <f>IFERROR(__xludf.DUMMYFUNCTION("""COMPUTED_VALUE"""),"CA-2014-140004")</f>
        <v>CA-2014-140004</v>
      </c>
      <c r="C20" s="22">
        <f>IFERROR(__xludf.DUMMYFUNCTION("""COMPUTED_VALUE"""),41719.0)</f>
        <v>41719</v>
      </c>
      <c r="D20" s="14" t="str">
        <f>IFERROR(__xludf.DUMMYFUNCTION("""COMPUTED_VALUE"""),"Consumer")</f>
        <v>Consumer</v>
      </c>
      <c r="E20" s="14" t="str">
        <f>IFERROR(__xludf.DUMMYFUNCTION("""COMPUTED_VALUE"""),"Ohio")</f>
        <v>Ohio</v>
      </c>
      <c r="F20" s="14" t="str">
        <f>IFERROR(__xludf.DUMMYFUNCTION("""COMPUTED_VALUE"""),"East")</f>
        <v>East</v>
      </c>
      <c r="G20" s="14">
        <f>IFERROR(__xludf.DUMMYFUNCTION("""COMPUTED_VALUE"""),7.408)</f>
        <v>7.408</v>
      </c>
      <c r="H20" s="14">
        <f>IFERROR(__xludf.DUMMYFUNCTION("""COMPUTED_VALUE"""),2.0)</f>
        <v>2</v>
      </c>
      <c r="I20" s="14">
        <f>IFERROR(__xludf.DUMMYFUNCTION("""COMPUTED_VALUE"""),1.2038)</f>
        <v>1.2038</v>
      </c>
      <c r="J20" s="3"/>
      <c r="K20" s="21"/>
      <c r="L20" s="21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>
      <c r="A21" s="12"/>
      <c r="B21" s="14" t="str">
        <f>IFERROR(__xludf.DUMMYFUNCTION("""COMPUTED_VALUE"""),"CA-2014-133690")</f>
        <v>CA-2014-133690</v>
      </c>
      <c r="C21" s="22">
        <f>IFERROR(__xludf.DUMMYFUNCTION("""COMPUTED_VALUE"""),41854.0)</f>
        <v>41854</v>
      </c>
      <c r="D21" s="14" t="str">
        <f>IFERROR(__xludf.DUMMYFUNCTION("""COMPUTED_VALUE"""),"Consumer")</f>
        <v>Consumer</v>
      </c>
      <c r="E21" s="14" t="str">
        <f>IFERROR(__xludf.DUMMYFUNCTION("""COMPUTED_VALUE"""),"Colorado")</f>
        <v>Colorado</v>
      </c>
      <c r="F21" s="14" t="str">
        <f>IFERROR(__xludf.DUMMYFUNCTION("""COMPUTED_VALUE"""),"West")</f>
        <v>West</v>
      </c>
      <c r="G21" s="14">
        <f>IFERROR(__xludf.DUMMYFUNCTION("""COMPUTED_VALUE"""),218.75)</f>
        <v>218.75</v>
      </c>
      <c r="H21" s="14">
        <f>IFERROR(__xludf.DUMMYFUNCTION("""COMPUTED_VALUE"""),2.0)</f>
        <v>2</v>
      </c>
      <c r="I21" s="14">
        <f>IFERROR(__xludf.DUMMYFUNCTION("""COMPUTED_VALUE"""),-161.875)</f>
        <v>-161.875</v>
      </c>
      <c r="J21" s="3"/>
      <c r="K21" s="21"/>
      <c r="L21" s="21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>
      <c r="A22" s="12"/>
      <c r="B22" s="14" t="str">
        <f>IFERROR(__xludf.DUMMYFUNCTION("""COMPUTED_VALUE"""),"CA-2014-123344")</f>
        <v>CA-2014-123344</v>
      </c>
      <c r="C22" s="22">
        <f>IFERROR(__xludf.DUMMYFUNCTION("""COMPUTED_VALUE"""),41906.0)</f>
        <v>41906</v>
      </c>
      <c r="D22" s="14" t="str">
        <f>IFERROR(__xludf.DUMMYFUNCTION("""COMPUTED_VALUE"""),"Consumer")</f>
        <v>Consumer</v>
      </c>
      <c r="E22" s="14" t="str">
        <f>IFERROR(__xludf.DUMMYFUNCTION("""COMPUTED_VALUE"""),"California")</f>
        <v>California</v>
      </c>
      <c r="F22" s="14" t="str">
        <f>IFERROR(__xludf.DUMMYFUNCTION("""COMPUTED_VALUE"""),"West")</f>
        <v>West</v>
      </c>
      <c r="G22" s="14">
        <f>IFERROR(__xludf.DUMMYFUNCTION("""COMPUTED_VALUE"""),211.96)</f>
        <v>211.96</v>
      </c>
      <c r="H22" s="14">
        <f>IFERROR(__xludf.DUMMYFUNCTION("""COMPUTED_VALUE"""),4.0)</f>
        <v>4</v>
      </c>
      <c r="I22" s="14">
        <f>IFERROR(__xludf.DUMMYFUNCTION("""COMPUTED_VALUE"""),8.4784)</f>
        <v>8.4784</v>
      </c>
      <c r="J22" s="3"/>
      <c r="K22" s="21"/>
      <c r="L22" s="21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>
      <c r="A23" s="12"/>
      <c r="B23" s="14" t="str">
        <f>IFERROR(__xludf.DUMMYFUNCTION("""COMPUTED_VALUE"""),"US-2014-119137")</f>
        <v>US-2014-119137</v>
      </c>
      <c r="C23" s="22">
        <f>IFERROR(__xludf.DUMMYFUNCTION("""COMPUTED_VALUE"""),41843.0)</f>
        <v>41843</v>
      </c>
      <c r="D23" s="14" t="str">
        <f>IFERROR(__xludf.DUMMYFUNCTION("""COMPUTED_VALUE"""),"Consumer")</f>
        <v>Consumer</v>
      </c>
      <c r="E23" s="14" t="str">
        <f>IFERROR(__xludf.DUMMYFUNCTION("""COMPUTED_VALUE"""),"Arizona")</f>
        <v>Arizona</v>
      </c>
      <c r="F23" s="14" t="str">
        <f>IFERROR(__xludf.DUMMYFUNCTION("""COMPUTED_VALUE"""),"West")</f>
        <v>West</v>
      </c>
      <c r="G23" s="14">
        <f>IFERROR(__xludf.DUMMYFUNCTION("""COMPUTED_VALUE"""),8.16)</f>
        <v>8.16</v>
      </c>
      <c r="H23" s="14">
        <f>IFERROR(__xludf.DUMMYFUNCTION("""COMPUTED_VALUE"""),5.0)</f>
        <v>5</v>
      </c>
      <c r="I23" s="14">
        <f>IFERROR(__xludf.DUMMYFUNCTION("""COMPUTED_VALUE"""),-5.712)</f>
        <v>-5.712</v>
      </c>
      <c r="J23" s="3"/>
      <c r="K23" s="21"/>
      <c r="L23" s="21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>
      <c r="A24" s="12"/>
      <c r="B24" s="14" t="str">
        <f>IFERROR(__xludf.DUMMYFUNCTION("""COMPUTED_VALUE"""),"CA-2014-115973")</f>
        <v>CA-2014-115973</v>
      </c>
      <c r="C24" s="23">
        <f>IFERROR(__xludf.DUMMYFUNCTION("""COMPUTED_VALUE"""),41967.0)</f>
        <v>41967</v>
      </c>
      <c r="D24" s="14" t="str">
        <f>IFERROR(__xludf.DUMMYFUNCTION("""COMPUTED_VALUE"""),"Consumer")</f>
        <v>Consumer</v>
      </c>
      <c r="E24" s="14" t="str">
        <f>IFERROR(__xludf.DUMMYFUNCTION("""COMPUTED_VALUE"""),"Ohio")</f>
        <v>Ohio</v>
      </c>
      <c r="F24" s="14" t="str">
        <f>IFERROR(__xludf.DUMMYFUNCTION("""COMPUTED_VALUE"""),"East")</f>
        <v>East</v>
      </c>
      <c r="G24" s="14">
        <f>IFERROR(__xludf.DUMMYFUNCTION("""COMPUTED_VALUE"""),2.624)</f>
        <v>2.624</v>
      </c>
      <c r="H24" s="14">
        <f>IFERROR(__xludf.DUMMYFUNCTION("""COMPUTED_VALUE"""),1.0)</f>
        <v>1</v>
      </c>
      <c r="I24" s="14">
        <f>IFERROR(__xludf.DUMMYFUNCTION("""COMPUTED_VALUE"""),0.4264)</f>
        <v>0.4264</v>
      </c>
      <c r="J24" s="3"/>
      <c r="K24" s="21"/>
      <c r="L24" s="21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>
      <c r="A25" s="12"/>
      <c r="B25" s="14" t="str">
        <f>IFERROR(__xludf.DUMMYFUNCTION("""COMPUTED_VALUE"""),"US-2014-135972")</f>
        <v>US-2014-135972</v>
      </c>
      <c r="C25" s="22">
        <f>IFERROR(__xludf.DUMMYFUNCTION("""COMPUTED_VALUE"""),41903.0)</f>
        <v>41903</v>
      </c>
      <c r="D25" s="14" t="str">
        <f>IFERROR(__xludf.DUMMYFUNCTION("""COMPUTED_VALUE"""),"Consumer")</f>
        <v>Consumer</v>
      </c>
      <c r="E25" s="14" t="str">
        <f>IFERROR(__xludf.DUMMYFUNCTION("""COMPUTED_VALUE"""),"Washington")</f>
        <v>Washington</v>
      </c>
      <c r="F25" s="14" t="str">
        <f>IFERROR(__xludf.DUMMYFUNCTION("""COMPUTED_VALUE"""),"West")</f>
        <v>West</v>
      </c>
      <c r="G25" s="14">
        <f>IFERROR(__xludf.DUMMYFUNCTION("""COMPUTED_VALUE"""),246.384)</f>
        <v>246.384</v>
      </c>
      <c r="H25" s="14">
        <f>IFERROR(__xludf.DUMMYFUNCTION("""COMPUTED_VALUE"""),2.0)</f>
        <v>2</v>
      </c>
      <c r="I25" s="14">
        <f>IFERROR(__xludf.DUMMYFUNCTION("""COMPUTED_VALUE"""),27.7182)</f>
        <v>27.7182</v>
      </c>
      <c r="J25" s="3"/>
      <c r="K25" s="21"/>
      <c r="L25" s="21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>
      <c r="A26" s="12"/>
      <c r="B26" s="14" t="str">
        <f>IFERROR(__xludf.DUMMYFUNCTION("""COMPUTED_VALUE"""),"CA-2014-113166")</f>
        <v>CA-2014-113166</v>
      </c>
      <c r="C26" s="23">
        <f>IFERROR(__xludf.DUMMYFUNCTION("""COMPUTED_VALUE"""),41997.0)</f>
        <v>41997</v>
      </c>
      <c r="D26" s="14" t="str">
        <f>IFERROR(__xludf.DUMMYFUNCTION("""COMPUTED_VALUE"""),"Consumer")</f>
        <v>Consumer</v>
      </c>
      <c r="E26" s="14" t="str">
        <f>IFERROR(__xludf.DUMMYFUNCTION("""COMPUTED_VALUE"""),"Florida")</f>
        <v>Florida</v>
      </c>
      <c r="F26" s="14" t="str">
        <f>IFERROR(__xludf.DUMMYFUNCTION("""COMPUTED_VALUE"""),"South")</f>
        <v>South</v>
      </c>
      <c r="G26" s="14">
        <f>IFERROR(__xludf.DUMMYFUNCTION("""COMPUTED_VALUE"""),9.568)</f>
        <v>9.568</v>
      </c>
      <c r="H26" s="14">
        <f>IFERROR(__xludf.DUMMYFUNCTION("""COMPUTED_VALUE"""),2.0)</f>
        <v>2</v>
      </c>
      <c r="I26" s="14">
        <f>IFERROR(__xludf.DUMMYFUNCTION("""COMPUTED_VALUE"""),3.4684)</f>
        <v>3.4684</v>
      </c>
      <c r="J26" s="3"/>
      <c r="K26" s="21"/>
      <c r="L26" s="21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>
      <c r="A27" s="12"/>
      <c r="B27" s="14" t="str">
        <f>IFERROR(__xludf.DUMMYFUNCTION("""COMPUTED_VALUE"""),"CA-2014-142048")</f>
        <v>CA-2014-142048</v>
      </c>
      <c r="C27" s="22">
        <f>IFERROR(__xludf.DUMMYFUNCTION("""COMPUTED_VALUE"""),41812.0)</f>
        <v>41812</v>
      </c>
      <c r="D27" s="14" t="str">
        <f>IFERROR(__xludf.DUMMYFUNCTION("""COMPUTED_VALUE"""),"Consumer")</f>
        <v>Consumer</v>
      </c>
      <c r="E27" s="14" t="str">
        <f>IFERROR(__xludf.DUMMYFUNCTION("""COMPUTED_VALUE"""),"Colorado")</f>
        <v>Colorado</v>
      </c>
      <c r="F27" s="14" t="str">
        <f>IFERROR(__xludf.DUMMYFUNCTION("""COMPUTED_VALUE"""),"West")</f>
        <v>West</v>
      </c>
      <c r="G27" s="14">
        <f>IFERROR(__xludf.DUMMYFUNCTION("""COMPUTED_VALUE"""),196.752)</f>
        <v>196.752</v>
      </c>
      <c r="H27" s="14">
        <f>IFERROR(__xludf.DUMMYFUNCTION("""COMPUTED_VALUE"""),6.0)</f>
        <v>6</v>
      </c>
      <c r="I27" s="14">
        <f>IFERROR(__xludf.DUMMYFUNCTION("""COMPUTED_VALUE"""),56.5662)</f>
        <v>56.5662</v>
      </c>
      <c r="J27" s="3"/>
      <c r="K27" s="21"/>
      <c r="L27" s="21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>
      <c r="A28" s="12"/>
      <c r="B28" s="14" t="str">
        <f>IFERROR(__xludf.DUMMYFUNCTION("""COMPUTED_VALUE"""),"US-2014-150574")</f>
        <v>US-2014-150574</v>
      </c>
      <c r="C28" s="23">
        <f>IFERROR(__xludf.DUMMYFUNCTION("""COMPUTED_VALUE"""),41992.0)</f>
        <v>41992</v>
      </c>
      <c r="D28" s="14" t="str">
        <f>IFERROR(__xludf.DUMMYFUNCTION("""COMPUTED_VALUE"""),"Consumer")</f>
        <v>Consumer</v>
      </c>
      <c r="E28" s="14" t="str">
        <f>IFERROR(__xludf.DUMMYFUNCTION("""COMPUTED_VALUE"""),"Florida")</f>
        <v>Florida</v>
      </c>
      <c r="F28" s="14" t="str">
        <f>IFERROR(__xludf.DUMMYFUNCTION("""COMPUTED_VALUE"""),"South")</f>
        <v>South</v>
      </c>
      <c r="G28" s="14">
        <f>IFERROR(__xludf.DUMMYFUNCTION("""COMPUTED_VALUE"""),4.812)</f>
        <v>4.812</v>
      </c>
      <c r="H28" s="14">
        <f>IFERROR(__xludf.DUMMYFUNCTION("""COMPUTED_VALUE"""),2.0)</f>
        <v>2</v>
      </c>
      <c r="I28" s="14">
        <f>IFERROR(__xludf.DUMMYFUNCTION("""COMPUTED_VALUE"""),-3.6892)</f>
        <v>-3.6892</v>
      </c>
      <c r="J28" s="3"/>
      <c r="K28" s="21"/>
      <c r="L28" s="21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>
      <c r="A29" s="12"/>
      <c r="B29" s="14" t="str">
        <f>IFERROR(__xludf.DUMMYFUNCTION("""COMPUTED_VALUE"""),"US-2014-110674")</f>
        <v>US-2014-110674</v>
      </c>
      <c r="C29" s="22">
        <f>IFERROR(__xludf.DUMMYFUNCTION("""COMPUTED_VALUE"""),41682.0)</f>
        <v>41682</v>
      </c>
      <c r="D29" s="14" t="str">
        <f>IFERROR(__xludf.DUMMYFUNCTION("""COMPUTED_VALUE"""),"Consumer")</f>
        <v>Consumer</v>
      </c>
      <c r="E29" s="14" t="str">
        <f>IFERROR(__xludf.DUMMYFUNCTION("""COMPUTED_VALUE"""),"California")</f>
        <v>California</v>
      </c>
      <c r="F29" s="14" t="str">
        <f>IFERROR(__xludf.DUMMYFUNCTION("""COMPUTED_VALUE"""),"West")</f>
        <v>West</v>
      </c>
      <c r="G29" s="14">
        <f>IFERROR(__xludf.DUMMYFUNCTION("""COMPUTED_VALUE"""),129.568)</f>
        <v>129.568</v>
      </c>
      <c r="H29" s="14">
        <f>IFERROR(__xludf.DUMMYFUNCTION("""COMPUTED_VALUE"""),2.0)</f>
        <v>2</v>
      </c>
      <c r="I29" s="14">
        <f>IFERROR(__xludf.DUMMYFUNCTION("""COMPUTED_VALUE"""),-24.294)</f>
        <v>-24.294</v>
      </c>
      <c r="J29" s="3"/>
      <c r="K29" s="21"/>
      <c r="L29" s="21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>
      <c r="A30" s="12"/>
      <c r="B30" s="14" t="str">
        <f>IFERROR(__xludf.DUMMYFUNCTION("""COMPUTED_VALUE"""),"CA-2014-144666")</f>
        <v>CA-2014-144666</v>
      </c>
      <c r="C30" s="22">
        <f>IFERROR(__xludf.DUMMYFUNCTION("""COMPUTED_VALUE"""),41952.0)</f>
        <v>41952</v>
      </c>
      <c r="D30" s="14" t="str">
        <f>IFERROR(__xludf.DUMMYFUNCTION("""COMPUTED_VALUE"""),"Consumer")</f>
        <v>Consumer</v>
      </c>
      <c r="E30" s="14" t="str">
        <f>IFERROR(__xludf.DUMMYFUNCTION("""COMPUTED_VALUE"""),"California")</f>
        <v>California</v>
      </c>
      <c r="F30" s="14" t="str">
        <f>IFERROR(__xludf.DUMMYFUNCTION("""COMPUTED_VALUE"""),"West")</f>
        <v>West</v>
      </c>
      <c r="G30" s="14">
        <f>IFERROR(__xludf.DUMMYFUNCTION("""COMPUTED_VALUE"""),340.92)</f>
        <v>340.92</v>
      </c>
      <c r="H30" s="14">
        <f>IFERROR(__xludf.DUMMYFUNCTION("""COMPUTED_VALUE"""),3.0)</f>
        <v>3</v>
      </c>
      <c r="I30" s="14">
        <f>IFERROR(__xludf.DUMMYFUNCTION("""COMPUTED_VALUE"""),3.4092)</f>
        <v>3.4092</v>
      </c>
      <c r="J30" s="3"/>
      <c r="K30" s="21"/>
      <c r="L30" s="21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>
      <c r="A31" s="12"/>
      <c r="B31" s="14" t="str">
        <f>IFERROR(__xludf.DUMMYFUNCTION("""COMPUTED_VALUE"""),"CA-2014-134677")</f>
        <v>CA-2014-134677</v>
      </c>
      <c r="C31" s="22">
        <f>IFERROR(__xludf.DUMMYFUNCTION("""COMPUTED_VALUE"""),41918.0)</f>
        <v>41918</v>
      </c>
      <c r="D31" s="14" t="str">
        <f>IFERROR(__xludf.DUMMYFUNCTION("""COMPUTED_VALUE"""),"Consumer")</f>
        <v>Consumer</v>
      </c>
      <c r="E31" s="14" t="str">
        <f>IFERROR(__xludf.DUMMYFUNCTION("""COMPUTED_VALUE"""),"California")</f>
        <v>California</v>
      </c>
      <c r="F31" s="14" t="str">
        <f>IFERROR(__xludf.DUMMYFUNCTION("""COMPUTED_VALUE"""),"West")</f>
        <v>West</v>
      </c>
      <c r="G31" s="14">
        <f>IFERROR(__xludf.DUMMYFUNCTION("""COMPUTED_VALUE"""),9.09)</f>
        <v>9.09</v>
      </c>
      <c r="H31" s="14">
        <f>IFERROR(__xludf.DUMMYFUNCTION("""COMPUTED_VALUE"""),3.0)</f>
        <v>3</v>
      </c>
      <c r="I31" s="14">
        <f>IFERROR(__xludf.DUMMYFUNCTION("""COMPUTED_VALUE"""),1.9089)</f>
        <v>1.9089</v>
      </c>
      <c r="J31" s="3"/>
      <c r="K31" s="21"/>
      <c r="L31" s="21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>
      <c r="A32" s="12"/>
      <c r="B32" s="14" t="str">
        <f>IFERROR(__xludf.DUMMYFUNCTION("""COMPUTED_VALUE"""),"CA-2014-127691")</f>
        <v>CA-2014-127691</v>
      </c>
      <c r="C32" s="22">
        <f>IFERROR(__xludf.DUMMYFUNCTION("""COMPUTED_VALUE"""),41842.0)</f>
        <v>41842</v>
      </c>
      <c r="D32" s="14" t="str">
        <f>IFERROR(__xludf.DUMMYFUNCTION("""COMPUTED_VALUE"""),"Consumer")</f>
        <v>Consumer</v>
      </c>
      <c r="E32" s="14" t="str">
        <f>IFERROR(__xludf.DUMMYFUNCTION("""COMPUTED_VALUE"""),"New York")</f>
        <v>New York</v>
      </c>
      <c r="F32" s="14" t="str">
        <f>IFERROR(__xludf.DUMMYFUNCTION("""COMPUTED_VALUE"""),"East")</f>
        <v>East</v>
      </c>
      <c r="G32" s="14">
        <f>IFERROR(__xludf.DUMMYFUNCTION("""COMPUTED_VALUE"""),5.96)</f>
        <v>5.96</v>
      </c>
      <c r="H32" s="14">
        <f>IFERROR(__xludf.DUMMYFUNCTION("""COMPUTED_VALUE"""),2.0)</f>
        <v>2</v>
      </c>
      <c r="I32" s="14">
        <f>IFERROR(__xludf.DUMMYFUNCTION("""COMPUTED_VALUE"""),1.6688)</f>
        <v>1.6688</v>
      </c>
      <c r="J32" s="3"/>
      <c r="K32" s="21"/>
      <c r="L32" s="21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>
      <c r="A33" s="12"/>
      <c r="B33" s="14" t="str">
        <f>IFERROR(__xludf.DUMMYFUNCTION("""COMPUTED_VALUE"""),"CA-2014-154627")</f>
        <v>CA-2014-154627</v>
      </c>
      <c r="C33" s="23">
        <f>IFERROR(__xludf.DUMMYFUNCTION("""COMPUTED_VALUE"""),41941.0)</f>
        <v>41941</v>
      </c>
      <c r="D33" s="14" t="str">
        <f>IFERROR(__xludf.DUMMYFUNCTION("""COMPUTED_VALUE"""),"Consumer")</f>
        <v>Consumer</v>
      </c>
      <c r="E33" s="14" t="str">
        <f>IFERROR(__xludf.DUMMYFUNCTION("""COMPUTED_VALUE"""),"Illinois")</f>
        <v>Illinois</v>
      </c>
      <c r="F33" s="14" t="str">
        <f>IFERROR(__xludf.DUMMYFUNCTION("""COMPUTED_VALUE"""),"Central")</f>
        <v>Central</v>
      </c>
      <c r="G33" s="14">
        <f>IFERROR(__xludf.DUMMYFUNCTION("""COMPUTED_VALUE"""),2735.952)</f>
        <v>2735.952</v>
      </c>
      <c r="H33" s="14">
        <f>IFERROR(__xludf.DUMMYFUNCTION("""COMPUTED_VALUE"""),6.0)</f>
        <v>6</v>
      </c>
      <c r="I33" s="14">
        <f>IFERROR(__xludf.DUMMYFUNCTION("""COMPUTED_VALUE"""),341.994)</f>
        <v>341.994</v>
      </c>
      <c r="J33" s="3"/>
      <c r="K33" s="21"/>
      <c r="L33" s="21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>
      <c r="A34" s="12"/>
      <c r="B34" s="14" t="str">
        <f>IFERROR(__xludf.DUMMYFUNCTION("""COMPUTED_VALUE"""),"CA-2014-113362")</f>
        <v>CA-2014-113362</v>
      </c>
      <c r="C34" s="22">
        <f>IFERROR(__xludf.DUMMYFUNCTION("""COMPUTED_VALUE"""),41896.0)</f>
        <v>41896</v>
      </c>
      <c r="D34" s="14" t="str">
        <f>IFERROR(__xludf.DUMMYFUNCTION("""COMPUTED_VALUE"""),"Consumer")</f>
        <v>Consumer</v>
      </c>
      <c r="E34" s="14" t="str">
        <f>IFERROR(__xludf.DUMMYFUNCTION("""COMPUTED_VALUE"""),"New York")</f>
        <v>New York</v>
      </c>
      <c r="F34" s="14" t="str">
        <f>IFERROR(__xludf.DUMMYFUNCTION("""COMPUTED_VALUE"""),"East")</f>
        <v>East</v>
      </c>
      <c r="G34" s="14">
        <f>IFERROR(__xludf.DUMMYFUNCTION("""COMPUTED_VALUE"""),449.15)</f>
        <v>449.15</v>
      </c>
      <c r="H34" s="14">
        <f>IFERROR(__xludf.DUMMYFUNCTION("""COMPUTED_VALUE"""),5.0)</f>
        <v>5</v>
      </c>
      <c r="I34" s="14">
        <f>IFERROR(__xludf.DUMMYFUNCTION("""COMPUTED_VALUE"""),8.983)</f>
        <v>8.983</v>
      </c>
      <c r="J34" s="3"/>
      <c r="K34" s="21"/>
      <c r="L34" s="21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>
      <c r="A35" s="12"/>
      <c r="B35" s="14" t="str">
        <f>IFERROR(__xludf.DUMMYFUNCTION("""COMPUTED_VALUE"""),"CA-2014-140795")</f>
        <v>CA-2014-140795</v>
      </c>
      <c r="C35" s="22">
        <f>IFERROR(__xludf.DUMMYFUNCTION("""COMPUTED_VALUE"""),41671.0)</f>
        <v>41671</v>
      </c>
      <c r="D35" s="14" t="str">
        <f>IFERROR(__xludf.DUMMYFUNCTION("""COMPUTED_VALUE"""),"Consumer")</f>
        <v>Consumer</v>
      </c>
      <c r="E35" s="14" t="str">
        <f>IFERROR(__xludf.DUMMYFUNCTION("""COMPUTED_VALUE"""),"Wisconsin")</f>
        <v>Wisconsin</v>
      </c>
      <c r="F35" s="14" t="str">
        <f>IFERROR(__xludf.DUMMYFUNCTION("""COMPUTED_VALUE"""),"Central")</f>
        <v>Central</v>
      </c>
      <c r="G35" s="14">
        <f>IFERROR(__xludf.DUMMYFUNCTION("""COMPUTED_VALUE"""),468.9)</f>
        <v>468.9</v>
      </c>
      <c r="H35" s="14">
        <f>IFERROR(__xludf.DUMMYFUNCTION("""COMPUTED_VALUE"""),6.0)</f>
        <v>6</v>
      </c>
      <c r="I35" s="14">
        <f>IFERROR(__xludf.DUMMYFUNCTION("""COMPUTED_VALUE"""),206.316)</f>
        <v>206.316</v>
      </c>
      <c r="J35" s="3"/>
      <c r="K35" s="21"/>
      <c r="L35" s="21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>
      <c r="A36" s="12"/>
      <c r="B36" s="14" t="str">
        <f>IFERROR(__xludf.DUMMYFUNCTION("""COMPUTED_VALUE"""),"CA-2014-103849")</f>
        <v>CA-2014-103849</v>
      </c>
      <c r="C36" s="22">
        <f>IFERROR(__xludf.DUMMYFUNCTION("""COMPUTED_VALUE"""),41770.0)</f>
        <v>41770</v>
      </c>
      <c r="D36" s="14" t="str">
        <f>IFERROR(__xludf.DUMMYFUNCTION("""COMPUTED_VALUE"""),"Consumer")</f>
        <v>Consumer</v>
      </c>
      <c r="E36" s="14" t="str">
        <f>IFERROR(__xludf.DUMMYFUNCTION("""COMPUTED_VALUE"""),"Texas")</f>
        <v>Texas</v>
      </c>
      <c r="F36" s="14" t="str">
        <f>IFERROR(__xludf.DUMMYFUNCTION("""COMPUTED_VALUE"""),"Central")</f>
        <v>Central</v>
      </c>
      <c r="G36" s="14">
        <f>IFERROR(__xludf.DUMMYFUNCTION("""COMPUTED_VALUE"""),58.112)</f>
        <v>58.112</v>
      </c>
      <c r="H36" s="14">
        <f>IFERROR(__xludf.DUMMYFUNCTION("""COMPUTED_VALUE"""),2.0)</f>
        <v>2</v>
      </c>
      <c r="I36" s="14">
        <f>IFERROR(__xludf.DUMMYFUNCTION("""COMPUTED_VALUE"""),7.264)</f>
        <v>7.264</v>
      </c>
      <c r="J36" s="3"/>
      <c r="K36" s="21"/>
      <c r="L36" s="21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>
      <c r="A37" s="12"/>
      <c r="B37" s="14" t="str">
        <f>IFERROR(__xludf.DUMMYFUNCTION("""COMPUTED_VALUE"""),"CA-2014-155852")</f>
        <v>CA-2014-155852</v>
      </c>
      <c r="C37" s="22">
        <f>IFERROR(__xludf.DUMMYFUNCTION("""COMPUTED_VALUE"""),41701.0)</f>
        <v>41701</v>
      </c>
      <c r="D37" s="14" t="str">
        <f>IFERROR(__xludf.DUMMYFUNCTION("""COMPUTED_VALUE"""),"Consumer")</f>
        <v>Consumer</v>
      </c>
      <c r="E37" s="14" t="str">
        <f>IFERROR(__xludf.DUMMYFUNCTION("""COMPUTED_VALUE"""),"North Carolina")</f>
        <v>North Carolina</v>
      </c>
      <c r="F37" s="14" t="str">
        <f>IFERROR(__xludf.DUMMYFUNCTION("""COMPUTED_VALUE"""),"South")</f>
        <v>South</v>
      </c>
      <c r="G37" s="14">
        <f>IFERROR(__xludf.DUMMYFUNCTION("""COMPUTED_VALUE"""),19.456)</f>
        <v>19.456</v>
      </c>
      <c r="H37" s="14">
        <f>IFERROR(__xludf.DUMMYFUNCTION("""COMPUTED_VALUE"""),4.0)</f>
        <v>4</v>
      </c>
      <c r="I37" s="14">
        <f>IFERROR(__xludf.DUMMYFUNCTION("""COMPUTED_VALUE"""),3.4048)</f>
        <v>3.4048</v>
      </c>
      <c r="J37" s="3"/>
      <c r="K37" s="21"/>
      <c r="L37" s="21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>
      <c r="A38" s="12"/>
      <c r="B38" s="14" t="str">
        <f>IFERROR(__xludf.DUMMYFUNCTION("""COMPUTED_VALUE"""),"CA-2014-145576")</f>
        <v>CA-2014-145576</v>
      </c>
      <c r="C38" s="22">
        <f>IFERROR(__xludf.DUMMYFUNCTION("""COMPUTED_VALUE"""),41896.0)</f>
        <v>41896</v>
      </c>
      <c r="D38" s="14" t="str">
        <f>IFERROR(__xludf.DUMMYFUNCTION("""COMPUTED_VALUE"""),"Consumer")</f>
        <v>Consumer</v>
      </c>
      <c r="E38" s="14" t="str">
        <f>IFERROR(__xludf.DUMMYFUNCTION("""COMPUTED_VALUE"""),"Florida")</f>
        <v>Florida</v>
      </c>
      <c r="F38" s="14" t="str">
        <f>IFERROR(__xludf.DUMMYFUNCTION("""COMPUTED_VALUE"""),"South")</f>
        <v>South</v>
      </c>
      <c r="G38" s="14">
        <f>IFERROR(__xludf.DUMMYFUNCTION("""COMPUTED_VALUE"""),13.0)</f>
        <v>13</v>
      </c>
      <c r="H38" s="14">
        <f>IFERROR(__xludf.DUMMYFUNCTION("""COMPUTED_VALUE"""),5.0)</f>
        <v>5</v>
      </c>
      <c r="I38" s="14">
        <f>IFERROR(__xludf.DUMMYFUNCTION("""COMPUTED_VALUE"""),1.3)</f>
        <v>1.3</v>
      </c>
      <c r="J38" s="3"/>
      <c r="K38" s="21"/>
      <c r="L38" s="21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>
      <c r="A39" s="12"/>
      <c r="B39" s="14" t="str">
        <f>IFERROR(__xludf.DUMMYFUNCTION("""COMPUTED_VALUE"""),"CA-2014-135405")</f>
        <v>CA-2014-135405</v>
      </c>
      <c r="C39" s="22">
        <f>IFERROR(__xludf.DUMMYFUNCTION("""COMPUTED_VALUE"""),41648.0)</f>
        <v>41648</v>
      </c>
      <c r="D39" s="14" t="str">
        <f>IFERROR(__xludf.DUMMYFUNCTION("""COMPUTED_VALUE"""),"Consumer")</f>
        <v>Consumer</v>
      </c>
      <c r="E39" s="14" t="str">
        <f>IFERROR(__xludf.DUMMYFUNCTION("""COMPUTED_VALUE"""),"Texas")</f>
        <v>Texas</v>
      </c>
      <c r="F39" s="14" t="str">
        <f>IFERROR(__xludf.DUMMYFUNCTION("""COMPUTED_VALUE"""),"Central")</f>
        <v>Central</v>
      </c>
      <c r="G39" s="14">
        <f>IFERROR(__xludf.DUMMYFUNCTION("""COMPUTED_VALUE"""),9.344)</f>
        <v>9.344</v>
      </c>
      <c r="H39" s="14">
        <f>IFERROR(__xludf.DUMMYFUNCTION("""COMPUTED_VALUE"""),2.0)</f>
        <v>2</v>
      </c>
      <c r="I39" s="14">
        <f>IFERROR(__xludf.DUMMYFUNCTION("""COMPUTED_VALUE"""),1.168)</f>
        <v>1.168</v>
      </c>
      <c r="J39" s="3"/>
      <c r="K39" s="21"/>
      <c r="L39" s="21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>
      <c r="A40" s="12"/>
      <c r="B40" s="14" t="str">
        <f>IFERROR(__xludf.DUMMYFUNCTION("""COMPUTED_VALUE"""),"CA-2014-131450")</f>
        <v>CA-2014-131450</v>
      </c>
      <c r="C40" s="22">
        <f>IFERROR(__xludf.DUMMYFUNCTION("""COMPUTED_VALUE"""),41859.0)</f>
        <v>41859</v>
      </c>
      <c r="D40" s="14" t="str">
        <f>IFERROR(__xludf.DUMMYFUNCTION("""COMPUTED_VALUE"""),"Consumer")</f>
        <v>Consumer</v>
      </c>
      <c r="E40" s="14" t="str">
        <f>IFERROR(__xludf.DUMMYFUNCTION("""COMPUTED_VALUE"""),"California")</f>
        <v>California</v>
      </c>
      <c r="F40" s="14" t="str">
        <f>IFERROR(__xludf.DUMMYFUNCTION("""COMPUTED_VALUE"""),"West")</f>
        <v>West</v>
      </c>
      <c r="G40" s="14">
        <f>IFERROR(__xludf.DUMMYFUNCTION("""COMPUTED_VALUE"""),76.12)</f>
        <v>76.12</v>
      </c>
      <c r="H40" s="14">
        <f>IFERROR(__xludf.DUMMYFUNCTION("""COMPUTED_VALUE"""),2.0)</f>
        <v>2</v>
      </c>
      <c r="I40" s="14">
        <f>IFERROR(__xludf.DUMMYFUNCTION("""COMPUTED_VALUE"""),22.0748)</f>
        <v>22.0748</v>
      </c>
      <c r="J40" s="3"/>
      <c r="K40" s="21"/>
      <c r="L40" s="21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>
      <c r="A41" s="12"/>
      <c r="B41" s="14" t="str">
        <f>IFERROR(__xludf.DUMMYFUNCTION("""COMPUTED_VALUE"""),"CA-2014-149958")</f>
        <v>CA-2014-149958</v>
      </c>
      <c r="C41" s="22">
        <f>IFERROR(__xludf.DUMMYFUNCTION("""COMPUTED_VALUE"""),41713.0)</f>
        <v>41713</v>
      </c>
      <c r="D41" s="14" t="str">
        <f>IFERROR(__xludf.DUMMYFUNCTION("""COMPUTED_VALUE"""),"Consumer")</f>
        <v>Consumer</v>
      </c>
      <c r="E41" s="14" t="str">
        <f>IFERROR(__xludf.DUMMYFUNCTION("""COMPUTED_VALUE"""),"Florida")</f>
        <v>Florida</v>
      </c>
      <c r="F41" s="14" t="str">
        <f>IFERROR(__xludf.DUMMYFUNCTION("""COMPUTED_VALUE"""),"South")</f>
        <v>South</v>
      </c>
      <c r="G41" s="14">
        <f>IFERROR(__xludf.DUMMYFUNCTION("""COMPUTED_VALUE"""),142.776)</f>
        <v>142.776</v>
      </c>
      <c r="H41" s="14">
        <f>IFERROR(__xludf.DUMMYFUNCTION("""COMPUTED_VALUE"""),1.0)</f>
        <v>1</v>
      </c>
      <c r="I41" s="14">
        <f>IFERROR(__xludf.DUMMYFUNCTION("""COMPUTED_VALUE"""),17.847)</f>
        <v>17.847</v>
      </c>
      <c r="J41" s="3"/>
      <c r="K41" s="21"/>
      <c r="L41" s="21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>
      <c r="A42" s="12"/>
      <c r="B42" s="14" t="str">
        <f>IFERROR(__xludf.DUMMYFUNCTION("""COMPUTED_VALUE"""),"US-2014-105767")</f>
        <v>US-2014-105767</v>
      </c>
      <c r="C42" s="22">
        <f>IFERROR(__xludf.DUMMYFUNCTION("""COMPUTED_VALUE"""),41782.0)</f>
        <v>41782</v>
      </c>
      <c r="D42" s="14" t="str">
        <f>IFERROR(__xludf.DUMMYFUNCTION("""COMPUTED_VALUE"""),"Consumer")</f>
        <v>Consumer</v>
      </c>
      <c r="E42" s="14" t="str">
        <f>IFERROR(__xludf.DUMMYFUNCTION("""COMPUTED_VALUE"""),"Pennsylvania")</f>
        <v>Pennsylvania</v>
      </c>
      <c r="F42" s="14" t="str">
        <f>IFERROR(__xludf.DUMMYFUNCTION("""COMPUTED_VALUE"""),"East")</f>
        <v>East</v>
      </c>
      <c r="G42" s="14">
        <f>IFERROR(__xludf.DUMMYFUNCTION("""COMPUTED_VALUE"""),3.282)</f>
        <v>3.282</v>
      </c>
      <c r="H42" s="14">
        <f>IFERROR(__xludf.DUMMYFUNCTION("""COMPUTED_VALUE"""),2.0)</f>
        <v>2</v>
      </c>
      <c r="I42" s="14">
        <f>IFERROR(__xludf.DUMMYFUNCTION("""COMPUTED_VALUE"""),-2.6256)</f>
        <v>-2.6256</v>
      </c>
      <c r="J42" s="3"/>
      <c r="K42" s="21"/>
      <c r="L42" s="21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>
      <c r="A43" s="12"/>
      <c r="B43" s="14" t="str">
        <f>IFERROR(__xludf.DUMMYFUNCTION("""COMPUTED_VALUE"""),"US-2014-111171")</f>
        <v>US-2014-111171</v>
      </c>
      <c r="C43" s="23">
        <f>IFERROR(__xludf.DUMMYFUNCTION("""COMPUTED_VALUE"""),41999.0)</f>
        <v>41999</v>
      </c>
      <c r="D43" s="14" t="str">
        <f>IFERROR(__xludf.DUMMYFUNCTION("""COMPUTED_VALUE"""),"Consumer")</f>
        <v>Consumer</v>
      </c>
      <c r="E43" s="14" t="str">
        <f>IFERROR(__xludf.DUMMYFUNCTION("""COMPUTED_VALUE"""),"Illinois")</f>
        <v>Illinois</v>
      </c>
      <c r="F43" s="14" t="str">
        <f>IFERROR(__xludf.DUMMYFUNCTION("""COMPUTED_VALUE"""),"Central")</f>
        <v>Central</v>
      </c>
      <c r="G43" s="14">
        <f>IFERROR(__xludf.DUMMYFUNCTION("""COMPUTED_VALUE"""),8.69)</f>
        <v>8.69</v>
      </c>
      <c r="H43" s="14">
        <f>IFERROR(__xludf.DUMMYFUNCTION("""COMPUTED_VALUE"""),5.0)</f>
        <v>5</v>
      </c>
      <c r="I43" s="14">
        <f>IFERROR(__xludf.DUMMYFUNCTION("""COMPUTED_VALUE"""),-14.773)</f>
        <v>-14.773</v>
      </c>
      <c r="J43" s="3"/>
      <c r="K43" s="21"/>
      <c r="L43" s="21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>
      <c r="A44" s="12"/>
      <c r="B44" s="14" t="str">
        <f>IFERROR(__xludf.DUMMYFUNCTION("""COMPUTED_VALUE"""),"CA-2014-156314")</f>
        <v>CA-2014-156314</v>
      </c>
      <c r="C44" s="23">
        <f>IFERROR(__xludf.DUMMYFUNCTION("""COMPUTED_VALUE"""),41997.0)</f>
        <v>41997</v>
      </c>
      <c r="D44" s="14" t="str">
        <f>IFERROR(__xludf.DUMMYFUNCTION("""COMPUTED_VALUE"""),"Consumer")</f>
        <v>Consumer</v>
      </c>
      <c r="E44" s="14" t="str">
        <f>IFERROR(__xludf.DUMMYFUNCTION("""COMPUTED_VALUE"""),"Ohio")</f>
        <v>Ohio</v>
      </c>
      <c r="F44" s="14" t="str">
        <f>IFERROR(__xludf.DUMMYFUNCTION("""COMPUTED_VALUE"""),"East")</f>
        <v>East</v>
      </c>
      <c r="G44" s="14">
        <f>IFERROR(__xludf.DUMMYFUNCTION("""COMPUTED_VALUE"""),30.36)</f>
        <v>30.36</v>
      </c>
      <c r="H44" s="14">
        <f>IFERROR(__xludf.DUMMYFUNCTION("""COMPUTED_VALUE"""),5.0)</f>
        <v>5</v>
      </c>
      <c r="I44" s="14">
        <f>IFERROR(__xludf.DUMMYFUNCTION("""COMPUTED_VALUE"""),8.7285)</f>
        <v>8.7285</v>
      </c>
      <c r="J44" s="3"/>
      <c r="K44" s="21"/>
      <c r="L44" s="21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>
      <c r="A45" s="12"/>
      <c r="B45" s="14" t="str">
        <f>IFERROR(__xludf.DUMMYFUNCTION("""COMPUTED_VALUE"""),"CA-2014-157784")</f>
        <v>CA-2014-157784</v>
      </c>
      <c r="C45" s="22">
        <f>IFERROR(__xludf.DUMMYFUNCTION("""COMPUTED_VALUE"""),41825.0)</f>
        <v>41825</v>
      </c>
      <c r="D45" s="14" t="str">
        <f>IFERROR(__xludf.DUMMYFUNCTION("""COMPUTED_VALUE"""),"Consumer")</f>
        <v>Consumer</v>
      </c>
      <c r="E45" s="14" t="str">
        <f>IFERROR(__xludf.DUMMYFUNCTION("""COMPUTED_VALUE"""),"Mississippi")</f>
        <v>Mississippi</v>
      </c>
      <c r="F45" s="14" t="str">
        <f>IFERROR(__xludf.DUMMYFUNCTION("""COMPUTED_VALUE"""),"South")</f>
        <v>South</v>
      </c>
      <c r="G45" s="14">
        <f>IFERROR(__xludf.DUMMYFUNCTION("""COMPUTED_VALUE"""),479.97)</f>
        <v>479.97</v>
      </c>
      <c r="H45" s="14">
        <f>IFERROR(__xludf.DUMMYFUNCTION("""COMPUTED_VALUE"""),3.0)</f>
        <v>3</v>
      </c>
      <c r="I45" s="14">
        <f>IFERROR(__xludf.DUMMYFUNCTION("""COMPUTED_VALUE"""),163.1898)</f>
        <v>163.1898</v>
      </c>
      <c r="J45" s="3"/>
      <c r="K45" s="21"/>
      <c r="L45" s="21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>
      <c r="A46" s="12"/>
      <c r="B46" s="14" t="str">
        <f>IFERROR(__xludf.DUMMYFUNCTION("""COMPUTED_VALUE"""),"US-2014-117135")</f>
        <v>US-2014-117135</v>
      </c>
      <c r="C46" s="22">
        <f>IFERROR(__xludf.DUMMYFUNCTION("""COMPUTED_VALUE"""),41811.0)</f>
        <v>41811</v>
      </c>
      <c r="D46" s="14" t="str">
        <f>IFERROR(__xludf.DUMMYFUNCTION("""COMPUTED_VALUE"""),"Consumer")</f>
        <v>Consumer</v>
      </c>
      <c r="E46" s="14" t="str">
        <f>IFERROR(__xludf.DUMMYFUNCTION("""COMPUTED_VALUE"""),"Virginia")</f>
        <v>Virginia</v>
      </c>
      <c r="F46" s="14" t="str">
        <f>IFERROR(__xludf.DUMMYFUNCTION("""COMPUTED_VALUE"""),"South")</f>
        <v>South</v>
      </c>
      <c r="G46" s="14">
        <f>IFERROR(__xludf.DUMMYFUNCTION("""COMPUTED_VALUE"""),104.01)</f>
        <v>104.01</v>
      </c>
      <c r="H46" s="14">
        <f>IFERROR(__xludf.DUMMYFUNCTION("""COMPUTED_VALUE"""),1.0)</f>
        <v>1</v>
      </c>
      <c r="I46" s="14">
        <f>IFERROR(__xludf.DUMMYFUNCTION("""COMPUTED_VALUE"""),14.5614)</f>
        <v>14.5614</v>
      </c>
      <c r="J46" s="3"/>
      <c r="K46" s="21"/>
      <c r="L46" s="21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>
      <c r="A47" s="12"/>
      <c r="B47" s="14" t="str">
        <f>IFERROR(__xludf.DUMMYFUNCTION("""COMPUTED_VALUE"""),"CA-2014-112158")</f>
        <v>CA-2014-112158</v>
      </c>
      <c r="C47" s="22">
        <f>IFERROR(__xludf.DUMMYFUNCTION("""COMPUTED_VALUE"""),41975.0)</f>
        <v>41975</v>
      </c>
      <c r="D47" s="14" t="str">
        <f>IFERROR(__xludf.DUMMYFUNCTION("""COMPUTED_VALUE"""),"Consumer")</f>
        <v>Consumer</v>
      </c>
      <c r="E47" s="14" t="str">
        <f>IFERROR(__xludf.DUMMYFUNCTION("""COMPUTED_VALUE"""),"New York")</f>
        <v>New York</v>
      </c>
      <c r="F47" s="14" t="str">
        <f>IFERROR(__xludf.DUMMYFUNCTION("""COMPUTED_VALUE"""),"East")</f>
        <v>East</v>
      </c>
      <c r="G47" s="14">
        <f>IFERROR(__xludf.DUMMYFUNCTION("""COMPUTED_VALUE"""),119.96)</f>
        <v>119.96</v>
      </c>
      <c r="H47" s="14">
        <f>IFERROR(__xludf.DUMMYFUNCTION("""COMPUTED_VALUE"""),4.0)</f>
        <v>4</v>
      </c>
      <c r="I47" s="14">
        <f>IFERROR(__xludf.DUMMYFUNCTION("""COMPUTED_VALUE"""),52.7824)</f>
        <v>52.7824</v>
      </c>
      <c r="J47" s="3"/>
      <c r="K47" s="21"/>
      <c r="L47" s="21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>
      <c r="A48" s="12"/>
      <c r="B48" s="14" t="str">
        <f>IFERROR(__xludf.DUMMYFUNCTION("""COMPUTED_VALUE"""),"CA-2014-130092")</f>
        <v>CA-2014-130092</v>
      </c>
      <c r="C48" s="22">
        <f>IFERROR(__xludf.DUMMYFUNCTION("""COMPUTED_VALUE"""),41650.0)</f>
        <v>41650</v>
      </c>
      <c r="D48" s="14" t="str">
        <f>IFERROR(__xludf.DUMMYFUNCTION("""COMPUTED_VALUE"""),"Consumer")</f>
        <v>Consumer</v>
      </c>
      <c r="E48" s="14" t="str">
        <f>IFERROR(__xludf.DUMMYFUNCTION("""COMPUTED_VALUE"""),"Delaware")</f>
        <v>Delaware</v>
      </c>
      <c r="F48" s="14" t="str">
        <f>IFERROR(__xludf.DUMMYFUNCTION("""COMPUTED_VALUE"""),"East")</f>
        <v>East</v>
      </c>
      <c r="G48" s="14">
        <f>IFERROR(__xludf.DUMMYFUNCTION("""COMPUTED_VALUE"""),9.94)</f>
        <v>9.94</v>
      </c>
      <c r="H48" s="14">
        <f>IFERROR(__xludf.DUMMYFUNCTION("""COMPUTED_VALUE"""),2.0)</f>
        <v>2</v>
      </c>
      <c r="I48" s="14">
        <f>IFERROR(__xludf.DUMMYFUNCTION("""COMPUTED_VALUE"""),3.0814)</f>
        <v>3.0814</v>
      </c>
      <c r="J48" s="3"/>
      <c r="K48" s="21"/>
      <c r="L48" s="21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>
      <c r="A49" s="12"/>
      <c r="B49" s="14" t="str">
        <f>IFERROR(__xludf.DUMMYFUNCTION("""COMPUTED_VALUE"""),"CA-2014-132500")</f>
        <v>CA-2014-132500</v>
      </c>
      <c r="C49" s="22">
        <f>IFERROR(__xludf.DUMMYFUNCTION("""COMPUTED_VALUE"""),41890.0)</f>
        <v>41890</v>
      </c>
      <c r="D49" s="14" t="str">
        <f>IFERROR(__xludf.DUMMYFUNCTION("""COMPUTED_VALUE"""),"Consumer")</f>
        <v>Consumer</v>
      </c>
      <c r="E49" s="14" t="str">
        <f>IFERROR(__xludf.DUMMYFUNCTION("""COMPUTED_VALUE"""),"California")</f>
        <v>California</v>
      </c>
      <c r="F49" s="14" t="str">
        <f>IFERROR(__xludf.DUMMYFUNCTION("""COMPUTED_VALUE"""),"West")</f>
        <v>West</v>
      </c>
      <c r="G49" s="14">
        <f>IFERROR(__xludf.DUMMYFUNCTION("""COMPUTED_VALUE"""),49.98)</f>
        <v>49.98</v>
      </c>
      <c r="H49" s="14">
        <f>IFERROR(__xludf.DUMMYFUNCTION("""COMPUTED_VALUE"""),2.0)</f>
        <v>2</v>
      </c>
      <c r="I49" s="14">
        <f>IFERROR(__xludf.DUMMYFUNCTION("""COMPUTED_VALUE"""),8.4966)</f>
        <v>8.4966</v>
      </c>
      <c r="J49" s="3"/>
      <c r="K49" s="21"/>
      <c r="L49" s="21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>
      <c r="A50" s="12"/>
      <c r="B50" s="14" t="str">
        <f>IFERROR(__xludf.DUMMYFUNCTION("""COMPUTED_VALUE"""),"CA-2014-106803")</f>
        <v>CA-2014-106803</v>
      </c>
      <c r="C50" s="23">
        <f>IFERROR(__xludf.DUMMYFUNCTION("""COMPUTED_VALUE"""),42002.0)</f>
        <v>42002</v>
      </c>
      <c r="D50" s="14" t="str">
        <f>IFERROR(__xludf.DUMMYFUNCTION("""COMPUTED_VALUE"""),"Consumer")</f>
        <v>Consumer</v>
      </c>
      <c r="E50" s="14" t="str">
        <f>IFERROR(__xludf.DUMMYFUNCTION("""COMPUTED_VALUE"""),"Minnesota")</f>
        <v>Minnesota</v>
      </c>
      <c r="F50" s="14" t="str">
        <f>IFERROR(__xludf.DUMMYFUNCTION("""COMPUTED_VALUE"""),"Central")</f>
        <v>Central</v>
      </c>
      <c r="G50" s="14">
        <f>IFERROR(__xludf.DUMMYFUNCTION("""COMPUTED_VALUE"""),24.56)</f>
        <v>24.56</v>
      </c>
      <c r="H50" s="14">
        <f>IFERROR(__xludf.DUMMYFUNCTION("""COMPUTED_VALUE"""),2.0)</f>
        <v>2</v>
      </c>
      <c r="I50" s="14">
        <f>IFERROR(__xludf.DUMMYFUNCTION("""COMPUTED_VALUE"""),6.8768)</f>
        <v>6.8768</v>
      </c>
      <c r="J50" s="3"/>
      <c r="K50" s="21"/>
      <c r="L50" s="21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>
      <c r="A51" s="12"/>
      <c r="B51" s="14" t="str">
        <f>IFERROR(__xludf.DUMMYFUNCTION("""COMPUTED_VALUE"""),"CA-2014-165974")</f>
        <v>CA-2014-165974</v>
      </c>
      <c r="C51" s="22">
        <f>IFERROR(__xludf.DUMMYFUNCTION("""COMPUTED_VALUE"""),41819.0)</f>
        <v>41819</v>
      </c>
      <c r="D51" s="14" t="str">
        <f>IFERROR(__xludf.DUMMYFUNCTION("""COMPUTED_VALUE"""),"Consumer")</f>
        <v>Consumer</v>
      </c>
      <c r="E51" s="14" t="str">
        <f>IFERROR(__xludf.DUMMYFUNCTION("""COMPUTED_VALUE"""),"Ohio")</f>
        <v>Ohio</v>
      </c>
      <c r="F51" s="14" t="str">
        <f>IFERROR(__xludf.DUMMYFUNCTION("""COMPUTED_VALUE"""),"East")</f>
        <v>East</v>
      </c>
      <c r="G51" s="14">
        <f>IFERROR(__xludf.DUMMYFUNCTION("""COMPUTED_VALUE"""),32.76)</f>
        <v>32.76</v>
      </c>
      <c r="H51" s="14">
        <f>IFERROR(__xludf.DUMMYFUNCTION("""COMPUTED_VALUE"""),7.0)</f>
        <v>7</v>
      </c>
      <c r="I51" s="14">
        <f>IFERROR(__xludf.DUMMYFUNCTION("""COMPUTED_VALUE"""),3.6855)</f>
        <v>3.6855</v>
      </c>
      <c r="J51" s="3"/>
      <c r="K51" s="21"/>
      <c r="L51" s="21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>
      <c r="A52" s="12"/>
      <c r="B52" s="14" t="str">
        <f>IFERROR(__xludf.DUMMYFUNCTION("""COMPUTED_VALUE"""),"CA-2014-156433")</f>
        <v>CA-2014-156433</v>
      </c>
      <c r="C52" s="22">
        <f>IFERROR(__xludf.DUMMYFUNCTION("""COMPUTED_VALUE"""),41902.0)</f>
        <v>41902</v>
      </c>
      <c r="D52" s="14" t="str">
        <f>IFERROR(__xludf.DUMMYFUNCTION("""COMPUTED_VALUE"""),"Consumer")</f>
        <v>Consumer</v>
      </c>
      <c r="E52" s="14" t="str">
        <f>IFERROR(__xludf.DUMMYFUNCTION("""COMPUTED_VALUE"""),"California")</f>
        <v>California</v>
      </c>
      <c r="F52" s="14" t="str">
        <f>IFERROR(__xludf.DUMMYFUNCTION("""COMPUTED_VALUE"""),"West")</f>
        <v>West</v>
      </c>
      <c r="G52" s="14">
        <f>IFERROR(__xludf.DUMMYFUNCTION("""COMPUTED_VALUE"""),9.96)</f>
        <v>9.96</v>
      </c>
      <c r="H52" s="14">
        <f>IFERROR(__xludf.DUMMYFUNCTION("""COMPUTED_VALUE"""),2.0)</f>
        <v>2</v>
      </c>
      <c r="I52" s="14">
        <f>IFERROR(__xludf.DUMMYFUNCTION("""COMPUTED_VALUE"""),4.5816)</f>
        <v>4.5816</v>
      </c>
      <c r="J52" s="3"/>
      <c r="K52" s="21"/>
      <c r="L52" s="21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>
      <c r="A53" s="12"/>
      <c r="B53" s="14" t="str">
        <f>IFERROR(__xludf.DUMMYFUNCTION("""COMPUTED_VALUE"""),"CA-2014-134313")</f>
        <v>CA-2014-134313</v>
      </c>
      <c r="C53" s="22">
        <f>IFERROR(__xludf.DUMMYFUNCTION("""COMPUTED_VALUE"""),41944.0)</f>
        <v>41944</v>
      </c>
      <c r="D53" s="14" t="str">
        <f>IFERROR(__xludf.DUMMYFUNCTION("""COMPUTED_VALUE"""),"Consumer")</f>
        <v>Consumer</v>
      </c>
      <c r="E53" s="14" t="str">
        <f>IFERROR(__xludf.DUMMYFUNCTION("""COMPUTED_VALUE"""),"Colorado")</f>
        <v>Colorado</v>
      </c>
      <c r="F53" s="14" t="str">
        <f>IFERROR(__xludf.DUMMYFUNCTION("""COMPUTED_VALUE"""),"West")</f>
        <v>West</v>
      </c>
      <c r="G53" s="14">
        <f>IFERROR(__xludf.DUMMYFUNCTION("""COMPUTED_VALUE"""),43.176)</f>
        <v>43.176</v>
      </c>
      <c r="H53" s="14">
        <f>IFERROR(__xludf.DUMMYFUNCTION("""COMPUTED_VALUE"""),3.0)</f>
        <v>3</v>
      </c>
      <c r="I53" s="14">
        <f>IFERROR(__xludf.DUMMYFUNCTION("""COMPUTED_VALUE"""),4.3176)</f>
        <v>4.3176</v>
      </c>
      <c r="J53" s="3"/>
      <c r="K53" s="21"/>
      <c r="L53" s="21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>
      <c r="A54" s="12"/>
      <c r="B54" s="14" t="str">
        <f>IFERROR(__xludf.DUMMYFUNCTION("""COMPUTED_VALUE"""),"CA-2014-151995")</f>
        <v>CA-2014-151995</v>
      </c>
      <c r="C54" s="23">
        <f>IFERROR(__xludf.DUMMYFUNCTION("""COMPUTED_VALUE"""),41925.0)</f>
        <v>41925</v>
      </c>
      <c r="D54" s="14" t="str">
        <f>IFERROR(__xludf.DUMMYFUNCTION("""COMPUTED_VALUE"""),"Consumer")</f>
        <v>Consumer</v>
      </c>
      <c r="E54" s="14" t="str">
        <f>IFERROR(__xludf.DUMMYFUNCTION("""COMPUTED_VALUE"""),"Washington")</f>
        <v>Washington</v>
      </c>
      <c r="F54" s="14" t="str">
        <f>IFERROR(__xludf.DUMMYFUNCTION("""COMPUTED_VALUE"""),"West")</f>
        <v>West</v>
      </c>
      <c r="G54" s="14">
        <f>IFERROR(__xludf.DUMMYFUNCTION("""COMPUTED_VALUE"""),11.52)</f>
        <v>11.52</v>
      </c>
      <c r="H54" s="14">
        <f>IFERROR(__xludf.DUMMYFUNCTION("""COMPUTED_VALUE"""),4.0)</f>
        <v>4</v>
      </c>
      <c r="I54" s="14">
        <f>IFERROR(__xludf.DUMMYFUNCTION("""COMPUTED_VALUE"""),3.2256)</f>
        <v>3.2256</v>
      </c>
      <c r="J54" s="3"/>
      <c r="K54" s="21"/>
      <c r="L54" s="21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>
      <c r="A55" s="12"/>
      <c r="B55" s="14" t="str">
        <f>IFERROR(__xludf.DUMMYFUNCTION("""COMPUTED_VALUE"""),"CA-2014-140858")</f>
        <v>CA-2014-140858</v>
      </c>
      <c r="C55" s="22">
        <f>IFERROR(__xludf.DUMMYFUNCTION("""COMPUTED_VALUE"""),41818.0)</f>
        <v>41818</v>
      </c>
      <c r="D55" s="14" t="str">
        <f>IFERROR(__xludf.DUMMYFUNCTION("""COMPUTED_VALUE"""),"Consumer")</f>
        <v>Consumer</v>
      </c>
      <c r="E55" s="14" t="str">
        <f>IFERROR(__xludf.DUMMYFUNCTION("""COMPUTED_VALUE"""),"Pennsylvania")</f>
        <v>Pennsylvania</v>
      </c>
      <c r="F55" s="14" t="str">
        <f>IFERROR(__xludf.DUMMYFUNCTION("""COMPUTED_VALUE"""),"East")</f>
        <v>East</v>
      </c>
      <c r="G55" s="14">
        <f>IFERROR(__xludf.DUMMYFUNCTION("""COMPUTED_VALUE"""),41.472)</f>
        <v>41.472</v>
      </c>
      <c r="H55" s="14">
        <f>IFERROR(__xludf.DUMMYFUNCTION("""COMPUTED_VALUE"""),8.0)</f>
        <v>8</v>
      </c>
      <c r="I55" s="14">
        <f>IFERROR(__xludf.DUMMYFUNCTION("""COMPUTED_VALUE"""),14.5152)</f>
        <v>14.5152</v>
      </c>
      <c r="J55" s="3"/>
      <c r="K55" s="21"/>
      <c r="L55" s="21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>
      <c r="A56" s="12"/>
      <c r="B56" s="14" t="str">
        <f>IFERROR(__xludf.DUMMYFUNCTION("""COMPUTED_VALUE"""),"US-2014-102071")</f>
        <v>US-2014-102071</v>
      </c>
      <c r="C56" s="22">
        <f>IFERROR(__xludf.DUMMYFUNCTION("""COMPUTED_VALUE"""),41768.0)</f>
        <v>41768</v>
      </c>
      <c r="D56" s="14" t="str">
        <f>IFERROR(__xludf.DUMMYFUNCTION("""COMPUTED_VALUE"""),"Consumer")</f>
        <v>Consumer</v>
      </c>
      <c r="E56" s="14" t="str">
        <f>IFERROR(__xludf.DUMMYFUNCTION("""COMPUTED_VALUE"""),"California")</f>
        <v>California</v>
      </c>
      <c r="F56" s="14" t="str">
        <f>IFERROR(__xludf.DUMMYFUNCTION("""COMPUTED_VALUE"""),"West")</f>
        <v>West</v>
      </c>
      <c r="G56" s="14">
        <f>IFERROR(__xludf.DUMMYFUNCTION("""COMPUTED_VALUE"""),67.8)</f>
        <v>67.8</v>
      </c>
      <c r="H56" s="14">
        <f>IFERROR(__xludf.DUMMYFUNCTION("""COMPUTED_VALUE"""),4.0)</f>
        <v>4</v>
      </c>
      <c r="I56" s="14">
        <f>IFERROR(__xludf.DUMMYFUNCTION("""COMPUTED_VALUE"""),4.068)</f>
        <v>4.068</v>
      </c>
      <c r="J56" s="3"/>
      <c r="K56" s="21"/>
      <c r="L56" s="21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>
      <c r="A57" s="12"/>
      <c r="B57" s="14" t="str">
        <f>IFERROR(__xludf.DUMMYFUNCTION("""COMPUTED_VALUE"""),"US-2014-115987")</f>
        <v>US-2014-115987</v>
      </c>
      <c r="C57" s="22">
        <f>IFERROR(__xludf.DUMMYFUNCTION("""COMPUTED_VALUE"""),41890.0)</f>
        <v>41890</v>
      </c>
      <c r="D57" s="14" t="str">
        <f>IFERROR(__xludf.DUMMYFUNCTION("""COMPUTED_VALUE"""),"Consumer")</f>
        <v>Consumer</v>
      </c>
      <c r="E57" s="14" t="str">
        <f>IFERROR(__xludf.DUMMYFUNCTION("""COMPUTED_VALUE"""),"Texas")</f>
        <v>Texas</v>
      </c>
      <c r="F57" s="14" t="str">
        <f>IFERROR(__xludf.DUMMYFUNCTION("""COMPUTED_VALUE"""),"Central")</f>
        <v>Central</v>
      </c>
      <c r="G57" s="14">
        <f>IFERROR(__xludf.DUMMYFUNCTION("""COMPUTED_VALUE"""),51.184)</f>
        <v>51.184</v>
      </c>
      <c r="H57" s="14">
        <f>IFERROR(__xludf.DUMMYFUNCTION("""COMPUTED_VALUE"""),4.0)</f>
        <v>4</v>
      </c>
      <c r="I57" s="14">
        <f>IFERROR(__xludf.DUMMYFUNCTION("""COMPUTED_VALUE"""),-79.3352)</f>
        <v>-79.3352</v>
      </c>
      <c r="J57" s="3"/>
      <c r="K57" s="21"/>
      <c r="L57" s="21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>
      <c r="A58" s="12"/>
      <c r="B58" s="14" t="str">
        <f>IFERROR(__xludf.DUMMYFUNCTION("""COMPUTED_VALUE"""),"CA-2014-125612")</f>
        <v>CA-2014-125612</v>
      </c>
      <c r="C58" s="22">
        <f>IFERROR(__xludf.DUMMYFUNCTION("""COMPUTED_VALUE"""),41854.0)</f>
        <v>41854</v>
      </c>
      <c r="D58" s="14" t="str">
        <f>IFERROR(__xludf.DUMMYFUNCTION("""COMPUTED_VALUE"""),"Consumer")</f>
        <v>Consumer</v>
      </c>
      <c r="E58" s="14" t="str">
        <f>IFERROR(__xludf.DUMMYFUNCTION("""COMPUTED_VALUE"""),"New York")</f>
        <v>New York</v>
      </c>
      <c r="F58" s="14" t="str">
        <f>IFERROR(__xludf.DUMMYFUNCTION("""COMPUTED_VALUE"""),"East")</f>
        <v>East</v>
      </c>
      <c r="G58" s="14">
        <f>IFERROR(__xludf.DUMMYFUNCTION("""COMPUTED_VALUE"""),39.96)</f>
        <v>39.96</v>
      </c>
      <c r="H58" s="14">
        <f>IFERROR(__xludf.DUMMYFUNCTION("""COMPUTED_VALUE"""),2.0)</f>
        <v>2</v>
      </c>
      <c r="I58" s="14">
        <f>IFERROR(__xludf.DUMMYFUNCTION("""COMPUTED_VALUE"""),18.7812)</f>
        <v>18.7812</v>
      </c>
      <c r="J58" s="3"/>
      <c r="K58" s="21"/>
      <c r="L58" s="21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>
      <c r="A59" s="12"/>
      <c r="B59" s="14" t="str">
        <f>IFERROR(__xludf.DUMMYFUNCTION("""COMPUTED_VALUE"""),"CA-2014-133851")</f>
        <v>CA-2014-133851</v>
      </c>
      <c r="C59" s="22">
        <f>IFERROR(__xludf.DUMMYFUNCTION("""COMPUTED_VALUE"""),41799.0)</f>
        <v>41799</v>
      </c>
      <c r="D59" s="14" t="str">
        <f>IFERROR(__xludf.DUMMYFUNCTION("""COMPUTED_VALUE"""),"Consumer")</f>
        <v>Consumer</v>
      </c>
      <c r="E59" s="14" t="str">
        <f>IFERROR(__xludf.DUMMYFUNCTION("""COMPUTED_VALUE"""),"California")</f>
        <v>California</v>
      </c>
      <c r="F59" s="14" t="str">
        <f>IFERROR(__xludf.DUMMYFUNCTION("""COMPUTED_VALUE"""),"West")</f>
        <v>West</v>
      </c>
      <c r="G59" s="14">
        <f>IFERROR(__xludf.DUMMYFUNCTION("""COMPUTED_VALUE"""),7.36)</f>
        <v>7.36</v>
      </c>
      <c r="H59" s="14">
        <f>IFERROR(__xludf.DUMMYFUNCTION("""COMPUTED_VALUE"""),2.0)</f>
        <v>2</v>
      </c>
      <c r="I59" s="14">
        <f>IFERROR(__xludf.DUMMYFUNCTION("""COMPUTED_VALUE"""),0.1472)</f>
        <v>0.1472</v>
      </c>
      <c r="J59" s="3"/>
      <c r="K59" s="21"/>
      <c r="L59" s="21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>
      <c r="A60" s="12"/>
      <c r="B60" s="14" t="str">
        <f>IFERROR(__xludf.DUMMYFUNCTION("""COMPUTED_VALUE"""),"CA-2014-148488")</f>
        <v>CA-2014-148488</v>
      </c>
      <c r="C60" s="23">
        <f>IFERROR(__xludf.DUMMYFUNCTION("""COMPUTED_VALUE"""),41983.0)</f>
        <v>41983</v>
      </c>
      <c r="D60" s="14" t="str">
        <f>IFERROR(__xludf.DUMMYFUNCTION("""COMPUTED_VALUE"""),"Consumer")</f>
        <v>Consumer</v>
      </c>
      <c r="E60" s="14" t="str">
        <f>IFERROR(__xludf.DUMMYFUNCTION("""COMPUTED_VALUE"""),"New York")</f>
        <v>New York</v>
      </c>
      <c r="F60" s="14" t="str">
        <f>IFERROR(__xludf.DUMMYFUNCTION("""COMPUTED_VALUE"""),"East")</f>
        <v>East</v>
      </c>
      <c r="G60" s="14">
        <f>IFERROR(__xludf.DUMMYFUNCTION("""COMPUTED_VALUE"""),11.36)</f>
        <v>11.36</v>
      </c>
      <c r="H60" s="14">
        <f>IFERROR(__xludf.DUMMYFUNCTION("""COMPUTED_VALUE"""),2.0)</f>
        <v>2</v>
      </c>
      <c r="I60" s="14">
        <f>IFERROR(__xludf.DUMMYFUNCTION("""COMPUTED_VALUE"""),5.2256)</f>
        <v>5.2256</v>
      </c>
      <c r="J60" s="3"/>
      <c r="K60" s="21"/>
      <c r="L60" s="21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>
      <c r="A61" s="12"/>
      <c r="B61" s="14" t="str">
        <f>IFERROR(__xludf.DUMMYFUNCTION("""COMPUTED_VALUE"""),"CA-2014-134061")</f>
        <v>CA-2014-134061</v>
      </c>
      <c r="C61" s="22">
        <f>IFERROR(__xludf.DUMMYFUNCTION("""COMPUTED_VALUE"""),41758.0)</f>
        <v>41758</v>
      </c>
      <c r="D61" s="14" t="str">
        <f>IFERROR(__xludf.DUMMYFUNCTION("""COMPUTED_VALUE"""),"Consumer")</f>
        <v>Consumer</v>
      </c>
      <c r="E61" s="14" t="str">
        <f>IFERROR(__xludf.DUMMYFUNCTION("""COMPUTED_VALUE"""),"New York")</f>
        <v>New York</v>
      </c>
      <c r="F61" s="14" t="str">
        <f>IFERROR(__xludf.DUMMYFUNCTION("""COMPUTED_VALUE"""),"East")</f>
        <v>East</v>
      </c>
      <c r="G61" s="14">
        <f>IFERROR(__xludf.DUMMYFUNCTION("""COMPUTED_VALUE"""),17.46)</f>
        <v>17.46</v>
      </c>
      <c r="H61" s="14">
        <f>IFERROR(__xludf.DUMMYFUNCTION("""COMPUTED_VALUE"""),2.0)</f>
        <v>2</v>
      </c>
      <c r="I61" s="14">
        <f>IFERROR(__xludf.DUMMYFUNCTION("""COMPUTED_VALUE"""),5.9364)</f>
        <v>5.9364</v>
      </c>
      <c r="J61" s="3"/>
      <c r="K61" s="21"/>
      <c r="L61" s="21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>
      <c r="A62" s="12"/>
      <c r="B62" s="14" t="str">
        <f>IFERROR(__xludf.DUMMYFUNCTION("""COMPUTED_VALUE"""),"CA-2014-144407")</f>
        <v>CA-2014-144407</v>
      </c>
      <c r="C62" s="22">
        <f>IFERROR(__xludf.DUMMYFUNCTION("""COMPUTED_VALUE"""),41891.0)</f>
        <v>41891</v>
      </c>
      <c r="D62" s="14" t="str">
        <f>IFERROR(__xludf.DUMMYFUNCTION("""COMPUTED_VALUE"""),"Consumer")</f>
        <v>Consumer</v>
      </c>
      <c r="E62" s="14" t="str">
        <f>IFERROR(__xludf.DUMMYFUNCTION("""COMPUTED_VALUE"""),"Michigan")</f>
        <v>Michigan</v>
      </c>
      <c r="F62" s="14" t="str">
        <f>IFERROR(__xludf.DUMMYFUNCTION("""COMPUTED_VALUE"""),"Central")</f>
        <v>Central</v>
      </c>
      <c r="G62" s="14">
        <f>IFERROR(__xludf.DUMMYFUNCTION("""COMPUTED_VALUE"""),103.6)</f>
        <v>103.6</v>
      </c>
      <c r="H62" s="14">
        <f>IFERROR(__xludf.DUMMYFUNCTION("""COMPUTED_VALUE"""),7.0)</f>
        <v>7</v>
      </c>
      <c r="I62" s="14">
        <f>IFERROR(__xludf.DUMMYFUNCTION("""COMPUTED_VALUE"""),51.8)</f>
        <v>51.8</v>
      </c>
      <c r="J62" s="3"/>
      <c r="K62" s="21"/>
      <c r="L62" s="21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>
      <c r="A63" s="12"/>
      <c r="B63" s="14" t="str">
        <f>IFERROR(__xludf.DUMMYFUNCTION("""COMPUTED_VALUE"""),"CA-2014-138296")</f>
        <v>CA-2014-138296</v>
      </c>
      <c r="C63" s="22">
        <f>IFERROR(__xludf.DUMMYFUNCTION("""COMPUTED_VALUE"""),41978.0)</f>
        <v>41978</v>
      </c>
      <c r="D63" s="14" t="str">
        <f>IFERROR(__xludf.DUMMYFUNCTION("""COMPUTED_VALUE"""),"Consumer")</f>
        <v>Consumer</v>
      </c>
      <c r="E63" s="14" t="str">
        <f>IFERROR(__xludf.DUMMYFUNCTION("""COMPUTED_VALUE"""),"Virginia")</f>
        <v>Virginia</v>
      </c>
      <c r="F63" s="14" t="str">
        <f>IFERROR(__xludf.DUMMYFUNCTION("""COMPUTED_VALUE"""),"South")</f>
        <v>South</v>
      </c>
      <c r="G63" s="14">
        <f>IFERROR(__xludf.DUMMYFUNCTION("""COMPUTED_VALUE"""),24.56)</f>
        <v>24.56</v>
      </c>
      <c r="H63" s="14">
        <f>IFERROR(__xludf.DUMMYFUNCTION("""COMPUTED_VALUE"""),2.0)</f>
        <v>2</v>
      </c>
      <c r="I63" s="14">
        <f>IFERROR(__xludf.DUMMYFUNCTION("""COMPUTED_VALUE"""),6.8768)</f>
        <v>6.8768</v>
      </c>
      <c r="J63" s="3"/>
      <c r="K63" s="21"/>
      <c r="L63" s="21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>
      <c r="A64" s="12"/>
      <c r="B64" s="14" t="str">
        <f>IFERROR(__xludf.DUMMYFUNCTION("""COMPUTED_VALUE"""),"CA-2014-132962")</f>
        <v>CA-2014-132962</v>
      </c>
      <c r="C64" s="22">
        <f>IFERROR(__xludf.DUMMYFUNCTION("""COMPUTED_VALUE"""),41895.0)</f>
        <v>41895</v>
      </c>
      <c r="D64" s="14" t="str">
        <f>IFERROR(__xludf.DUMMYFUNCTION("""COMPUTED_VALUE"""),"Consumer")</f>
        <v>Consumer</v>
      </c>
      <c r="E64" s="14" t="str">
        <f>IFERROR(__xludf.DUMMYFUNCTION("""COMPUTED_VALUE"""),"Pennsylvania")</f>
        <v>Pennsylvania</v>
      </c>
      <c r="F64" s="14" t="str">
        <f>IFERROR(__xludf.DUMMYFUNCTION("""COMPUTED_VALUE"""),"East")</f>
        <v>East</v>
      </c>
      <c r="G64" s="14">
        <f>IFERROR(__xludf.DUMMYFUNCTION("""COMPUTED_VALUE"""),15.552)</f>
        <v>15.552</v>
      </c>
      <c r="H64" s="14">
        <f>IFERROR(__xludf.DUMMYFUNCTION("""COMPUTED_VALUE"""),3.0)</f>
        <v>3</v>
      </c>
      <c r="I64" s="14">
        <f>IFERROR(__xludf.DUMMYFUNCTION("""COMPUTED_VALUE"""),5.4432)</f>
        <v>5.4432</v>
      </c>
      <c r="J64" s="3"/>
      <c r="K64" s="21"/>
      <c r="L64" s="21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>
      <c r="A65" s="12"/>
      <c r="B65" s="14" t="str">
        <f>IFERROR(__xludf.DUMMYFUNCTION("""COMPUTED_VALUE"""),"CA-2014-127488")</f>
        <v>CA-2014-127488</v>
      </c>
      <c r="C65" s="22">
        <f>IFERROR(__xludf.DUMMYFUNCTION("""COMPUTED_VALUE"""),41904.0)</f>
        <v>41904</v>
      </c>
      <c r="D65" s="14" t="str">
        <f>IFERROR(__xludf.DUMMYFUNCTION("""COMPUTED_VALUE"""),"Consumer")</f>
        <v>Consumer</v>
      </c>
      <c r="E65" s="14" t="str">
        <f>IFERROR(__xludf.DUMMYFUNCTION("""COMPUTED_VALUE"""),"Florida")</f>
        <v>Florida</v>
      </c>
      <c r="F65" s="14" t="str">
        <f>IFERROR(__xludf.DUMMYFUNCTION("""COMPUTED_VALUE"""),"South")</f>
        <v>South</v>
      </c>
      <c r="G65" s="14">
        <f>IFERROR(__xludf.DUMMYFUNCTION("""COMPUTED_VALUE"""),4.608)</f>
        <v>4.608</v>
      </c>
      <c r="H65" s="14">
        <f>IFERROR(__xludf.DUMMYFUNCTION("""COMPUTED_VALUE"""),2.0)</f>
        <v>2</v>
      </c>
      <c r="I65" s="14">
        <f>IFERROR(__xludf.DUMMYFUNCTION("""COMPUTED_VALUE"""),1.6704)</f>
        <v>1.6704</v>
      </c>
      <c r="J65" s="3"/>
      <c r="K65" s="21"/>
      <c r="L65" s="21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>
      <c r="A66" s="12"/>
      <c r="B66" s="14" t="str">
        <f>IFERROR(__xludf.DUMMYFUNCTION("""COMPUTED_VALUE"""),"CA-2014-115791")</f>
        <v>CA-2014-115791</v>
      </c>
      <c r="C66" s="22">
        <f>IFERROR(__xludf.DUMMYFUNCTION("""COMPUTED_VALUE"""),41655.0)</f>
        <v>41655</v>
      </c>
      <c r="D66" s="14" t="str">
        <f>IFERROR(__xludf.DUMMYFUNCTION("""COMPUTED_VALUE"""),"Consumer")</f>
        <v>Consumer</v>
      </c>
      <c r="E66" s="14" t="str">
        <f>IFERROR(__xludf.DUMMYFUNCTION("""COMPUTED_VALUE"""),"Pennsylvania")</f>
        <v>Pennsylvania</v>
      </c>
      <c r="F66" s="14" t="str">
        <f>IFERROR(__xludf.DUMMYFUNCTION("""COMPUTED_VALUE"""),"East")</f>
        <v>East</v>
      </c>
      <c r="G66" s="14">
        <f>IFERROR(__xludf.DUMMYFUNCTION("""COMPUTED_VALUE"""),127.104)</f>
        <v>127.104</v>
      </c>
      <c r="H66" s="14">
        <f>IFERROR(__xludf.DUMMYFUNCTION("""COMPUTED_VALUE"""),6.0)</f>
        <v>6</v>
      </c>
      <c r="I66" s="14">
        <f>IFERROR(__xludf.DUMMYFUNCTION("""COMPUTED_VALUE"""),28.5984)</f>
        <v>28.5984</v>
      </c>
      <c r="J66" s="3"/>
      <c r="K66" s="21"/>
      <c r="L66" s="21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>
      <c r="A67" s="12"/>
      <c r="B67" s="14" t="str">
        <f>IFERROR(__xludf.DUMMYFUNCTION("""COMPUTED_VALUE"""),"CA-2014-163419")</f>
        <v>CA-2014-163419</v>
      </c>
      <c r="C67" s="23">
        <f>IFERROR(__xludf.DUMMYFUNCTION("""COMPUTED_VALUE"""),41954.0)</f>
        <v>41954</v>
      </c>
      <c r="D67" s="14" t="str">
        <f>IFERROR(__xludf.DUMMYFUNCTION("""COMPUTED_VALUE"""),"Consumer")</f>
        <v>Consumer</v>
      </c>
      <c r="E67" s="14" t="str">
        <f>IFERROR(__xludf.DUMMYFUNCTION("""COMPUTED_VALUE"""),"Colorado")</f>
        <v>Colorado</v>
      </c>
      <c r="F67" s="14" t="str">
        <f>IFERROR(__xludf.DUMMYFUNCTION("""COMPUTED_VALUE"""),"West")</f>
        <v>West</v>
      </c>
      <c r="G67" s="14">
        <f>IFERROR(__xludf.DUMMYFUNCTION("""COMPUTED_VALUE"""),3.392)</f>
        <v>3.392</v>
      </c>
      <c r="H67" s="14">
        <f>IFERROR(__xludf.DUMMYFUNCTION("""COMPUTED_VALUE"""),1.0)</f>
        <v>1</v>
      </c>
      <c r="I67" s="14">
        <f>IFERROR(__xludf.DUMMYFUNCTION("""COMPUTED_VALUE"""),0.8056)</f>
        <v>0.8056</v>
      </c>
      <c r="J67" s="3"/>
      <c r="K67" s="21"/>
      <c r="L67" s="21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>
      <c r="A68" s="12"/>
      <c r="B68" s="14" t="str">
        <f>IFERROR(__xludf.DUMMYFUNCTION("""COMPUTED_VALUE"""),"CA-2014-158540")</f>
        <v>CA-2014-158540</v>
      </c>
      <c r="C68" s="23">
        <f>IFERROR(__xludf.DUMMYFUNCTION("""COMPUTED_VALUE"""),41967.0)</f>
        <v>41967</v>
      </c>
      <c r="D68" s="14" t="str">
        <f>IFERROR(__xludf.DUMMYFUNCTION("""COMPUTED_VALUE"""),"Consumer")</f>
        <v>Consumer</v>
      </c>
      <c r="E68" s="14" t="str">
        <f>IFERROR(__xludf.DUMMYFUNCTION("""COMPUTED_VALUE"""),"California")</f>
        <v>California</v>
      </c>
      <c r="F68" s="14" t="str">
        <f>IFERROR(__xludf.DUMMYFUNCTION("""COMPUTED_VALUE"""),"West")</f>
        <v>West</v>
      </c>
      <c r="G68" s="14">
        <f>IFERROR(__xludf.DUMMYFUNCTION("""COMPUTED_VALUE"""),151.72)</f>
        <v>151.72</v>
      </c>
      <c r="H68" s="14">
        <f>IFERROR(__xludf.DUMMYFUNCTION("""COMPUTED_VALUE"""),4.0)</f>
        <v>4</v>
      </c>
      <c r="I68" s="14">
        <f>IFERROR(__xludf.DUMMYFUNCTION("""COMPUTED_VALUE"""),27.3096)</f>
        <v>27.3096</v>
      </c>
      <c r="J68" s="3"/>
      <c r="K68" s="21"/>
      <c r="L68" s="21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>
      <c r="A69" s="12"/>
      <c r="B69" s="14" t="str">
        <f>IFERROR(__xludf.DUMMYFUNCTION("""COMPUTED_VALUE"""),"CA-2014-139192")</f>
        <v>CA-2014-139192</v>
      </c>
      <c r="C69" s="22">
        <f>IFERROR(__xludf.DUMMYFUNCTION("""COMPUTED_VALUE"""),41786.0)</f>
        <v>41786</v>
      </c>
      <c r="D69" s="14" t="str">
        <f>IFERROR(__xludf.DUMMYFUNCTION("""COMPUTED_VALUE"""),"Consumer")</f>
        <v>Consumer</v>
      </c>
      <c r="E69" s="14" t="str">
        <f>IFERROR(__xludf.DUMMYFUNCTION("""COMPUTED_VALUE"""),"California")</f>
        <v>California</v>
      </c>
      <c r="F69" s="14" t="str">
        <f>IFERROR(__xludf.DUMMYFUNCTION("""COMPUTED_VALUE"""),"West")</f>
        <v>West</v>
      </c>
      <c r="G69" s="14">
        <f>IFERROR(__xludf.DUMMYFUNCTION("""COMPUTED_VALUE"""),1113.504)</f>
        <v>1113.504</v>
      </c>
      <c r="H69" s="14">
        <f>IFERROR(__xludf.DUMMYFUNCTION("""COMPUTED_VALUE"""),12.0)</f>
        <v>12</v>
      </c>
      <c r="I69" s="14">
        <f>IFERROR(__xludf.DUMMYFUNCTION("""COMPUTED_VALUE"""),125.2692)</f>
        <v>125.2692</v>
      </c>
      <c r="J69" s="3"/>
      <c r="K69" s="21"/>
      <c r="L69" s="21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>
      <c r="A70" s="12"/>
      <c r="B70" s="14" t="str">
        <f>IFERROR(__xludf.DUMMYFUNCTION("""COMPUTED_VALUE"""),"US-2014-147627")</f>
        <v>US-2014-147627</v>
      </c>
      <c r="C70" s="22">
        <f>IFERROR(__xludf.DUMMYFUNCTION("""COMPUTED_VALUE"""),41659.0)</f>
        <v>41659</v>
      </c>
      <c r="D70" s="14" t="str">
        <f>IFERROR(__xludf.DUMMYFUNCTION("""COMPUTED_VALUE"""),"Consumer")</f>
        <v>Consumer</v>
      </c>
      <c r="E70" s="14" t="str">
        <f>IFERROR(__xludf.DUMMYFUNCTION("""COMPUTED_VALUE"""),"Arkansas")</f>
        <v>Arkansas</v>
      </c>
      <c r="F70" s="14" t="str">
        <f>IFERROR(__xludf.DUMMYFUNCTION("""COMPUTED_VALUE"""),"South")</f>
        <v>South</v>
      </c>
      <c r="G70" s="14">
        <f>IFERROR(__xludf.DUMMYFUNCTION("""COMPUTED_VALUE"""),699.93)</f>
        <v>699.93</v>
      </c>
      <c r="H70" s="14">
        <f>IFERROR(__xludf.DUMMYFUNCTION("""COMPUTED_VALUE"""),7.0)</f>
        <v>7</v>
      </c>
      <c r="I70" s="14">
        <f>IFERROR(__xludf.DUMMYFUNCTION("""COMPUTED_VALUE"""),181.9818)</f>
        <v>181.9818</v>
      </c>
      <c r="J70" s="3"/>
      <c r="K70" s="21"/>
      <c r="L70" s="21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>
      <c r="A71" s="12"/>
      <c r="B71" s="14" t="str">
        <f>IFERROR(__xludf.DUMMYFUNCTION("""COMPUTED_VALUE"""),"CA-2014-146969")</f>
        <v>CA-2014-146969</v>
      </c>
      <c r="C71" s="22">
        <f>IFERROR(__xludf.DUMMYFUNCTION("""COMPUTED_VALUE"""),41911.0)</f>
        <v>41911</v>
      </c>
      <c r="D71" s="14" t="str">
        <f>IFERROR(__xludf.DUMMYFUNCTION("""COMPUTED_VALUE"""),"Consumer")</f>
        <v>Consumer</v>
      </c>
      <c r="E71" s="14" t="str">
        <f>IFERROR(__xludf.DUMMYFUNCTION("""COMPUTED_VALUE"""),"California")</f>
        <v>California</v>
      </c>
      <c r="F71" s="14" t="str">
        <f>IFERROR(__xludf.DUMMYFUNCTION("""COMPUTED_VALUE"""),"West")</f>
        <v>West</v>
      </c>
      <c r="G71" s="14">
        <f>IFERROR(__xludf.DUMMYFUNCTION("""COMPUTED_VALUE"""),204.6)</f>
        <v>204.6</v>
      </c>
      <c r="H71" s="14">
        <f>IFERROR(__xludf.DUMMYFUNCTION("""COMPUTED_VALUE"""),2.0)</f>
        <v>2</v>
      </c>
      <c r="I71" s="14">
        <f>IFERROR(__xludf.DUMMYFUNCTION("""COMPUTED_VALUE"""),53.196)</f>
        <v>53.196</v>
      </c>
      <c r="J71" s="3"/>
      <c r="K71" s="21"/>
      <c r="L71" s="21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>
      <c r="A72" s="12"/>
      <c r="B72" s="14" t="str">
        <f>IFERROR(__xludf.DUMMYFUNCTION("""COMPUTED_VALUE"""),"CA-2014-126522")</f>
        <v>CA-2014-126522</v>
      </c>
      <c r="C72" s="22">
        <f>IFERROR(__xludf.DUMMYFUNCTION("""COMPUTED_VALUE"""),41883.0)</f>
        <v>41883</v>
      </c>
      <c r="D72" s="14" t="str">
        <f>IFERROR(__xludf.DUMMYFUNCTION("""COMPUTED_VALUE"""),"Consumer")</f>
        <v>Consumer</v>
      </c>
      <c r="E72" s="14" t="str">
        <f>IFERROR(__xludf.DUMMYFUNCTION("""COMPUTED_VALUE"""),"California")</f>
        <v>California</v>
      </c>
      <c r="F72" s="14" t="str">
        <f>IFERROR(__xludf.DUMMYFUNCTION("""COMPUTED_VALUE"""),"West")</f>
        <v>West</v>
      </c>
      <c r="G72" s="14">
        <f>IFERROR(__xludf.DUMMYFUNCTION("""COMPUTED_VALUE"""),53.94)</f>
        <v>53.94</v>
      </c>
      <c r="H72" s="14">
        <f>IFERROR(__xludf.DUMMYFUNCTION("""COMPUTED_VALUE"""),3.0)</f>
        <v>3</v>
      </c>
      <c r="I72" s="14">
        <f>IFERROR(__xludf.DUMMYFUNCTION("""COMPUTED_VALUE"""),15.6426)</f>
        <v>15.6426</v>
      </c>
      <c r="J72" s="3"/>
      <c r="K72" s="21"/>
      <c r="L72" s="21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>
      <c r="A73" s="12"/>
      <c r="B73" s="14" t="str">
        <f>IFERROR(__xludf.DUMMYFUNCTION("""COMPUTED_VALUE"""),"CA-2014-117709")</f>
        <v>CA-2014-117709</v>
      </c>
      <c r="C73" s="22">
        <f>IFERROR(__xludf.DUMMYFUNCTION("""COMPUTED_VALUE"""),41763.0)</f>
        <v>41763</v>
      </c>
      <c r="D73" s="14" t="str">
        <f>IFERROR(__xludf.DUMMYFUNCTION("""COMPUTED_VALUE"""),"Consumer")</f>
        <v>Consumer</v>
      </c>
      <c r="E73" s="14" t="str">
        <f>IFERROR(__xludf.DUMMYFUNCTION("""COMPUTED_VALUE"""),"Michigan")</f>
        <v>Michigan</v>
      </c>
      <c r="F73" s="14" t="str">
        <f>IFERROR(__xludf.DUMMYFUNCTION("""COMPUTED_VALUE"""),"Central")</f>
        <v>Central</v>
      </c>
      <c r="G73" s="14">
        <f>IFERROR(__xludf.DUMMYFUNCTION("""COMPUTED_VALUE"""),46.8)</f>
        <v>46.8</v>
      </c>
      <c r="H73" s="14">
        <f>IFERROR(__xludf.DUMMYFUNCTION("""COMPUTED_VALUE"""),4.0)</f>
        <v>4</v>
      </c>
      <c r="I73" s="14">
        <f>IFERROR(__xludf.DUMMYFUNCTION("""COMPUTED_VALUE"""),21.06)</f>
        <v>21.06</v>
      </c>
      <c r="J73" s="3"/>
      <c r="K73" s="21"/>
      <c r="L73" s="21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>
      <c r="A74" s="12"/>
      <c r="B74" s="14" t="str">
        <f>IFERROR(__xludf.DUMMYFUNCTION("""COMPUTED_VALUE"""),"US-2014-100279")</f>
        <v>US-2014-100279</v>
      </c>
      <c r="C74" s="22">
        <f>IFERROR(__xludf.DUMMYFUNCTION("""COMPUTED_VALUE"""),41708.0)</f>
        <v>41708</v>
      </c>
      <c r="D74" s="14" t="str">
        <f>IFERROR(__xludf.DUMMYFUNCTION("""COMPUTED_VALUE"""),"Consumer")</f>
        <v>Consumer</v>
      </c>
      <c r="E74" s="14" t="str">
        <f>IFERROR(__xludf.DUMMYFUNCTION("""COMPUTED_VALUE"""),"Michigan")</f>
        <v>Michigan</v>
      </c>
      <c r="F74" s="14" t="str">
        <f>IFERROR(__xludf.DUMMYFUNCTION("""COMPUTED_VALUE"""),"Central")</f>
        <v>Central</v>
      </c>
      <c r="G74" s="14">
        <f>IFERROR(__xludf.DUMMYFUNCTION("""COMPUTED_VALUE"""),22.38)</f>
        <v>22.38</v>
      </c>
      <c r="H74" s="14">
        <f>IFERROR(__xludf.DUMMYFUNCTION("""COMPUTED_VALUE"""),2.0)</f>
        <v>2</v>
      </c>
      <c r="I74" s="14">
        <f>IFERROR(__xludf.DUMMYFUNCTION("""COMPUTED_VALUE"""),10.7424)</f>
        <v>10.7424</v>
      </c>
      <c r="J74" s="3"/>
      <c r="K74" s="21"/>
      <c r="L74" s="21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>
      <c r="A75" s="12"/>
      <c r="B75" s="14" t="str">
        <f>IFERROR(__xludf.DUMMYFUNCTION("""COMPUTED_VALUE"""),"CA-2014-158064")</f>
        <v>CA-2014-158064</v>
      </c>
      <c r="C75" s="22">
        <f>IFERROR(__xludf.DUMMYFUNCTION("""COMPUTED_VALUE"""),41750.0)</f>
        <v>41750</v>
      </c>
      <c r="D75" s="14" t="str">
        <f>IFERROR(__xludf.DUMMYFUNCTION("""COMPUTED_VALUE"""),"Consumer")</f>
        <v>Consumer</v>
      </c>
      <c r="E75" s="14" t="str">
        <f>IFERROR(__xludf.DUMMYFUNCTION("""COMPUTED_VALUE"""),"California")</f>
        <v>California</v>
      </c>
      <c r="F75" s="14" t="str">
        <f>IFERROR(__xludf.DUMMYFUNCTION("""COMPUTED_VALUE"""),"West")</f>
        <v>West</v>
      </c>
      <c r="G75" s="14">
        <f>IFERROR(__xludf.DUMMYFUNCTION("""COMPUTED_VALUE"""),16.52)</f>
        <v>16.52</v>
      </c>
      <c r="H75" s="14">
        <f>IFERROR(__xludf.DUMMYFUNCTION("""COMPUTED_VALUE"""),5.0)</f>
        <v>5</v>
      </c>
      <c r="I75" s="14">
        <f>IFERROR(__xludf.DUMMYFUNCTION("""COMPUTED_VALUE"""),5.5755)</f>
        <v>5.5755</v>
      </c>
      <c r="J75" s="3"/>
      <c r="K75" s="21"/>
      <c r="L75" s="21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>
      <c r="A76" s="12"/>
      <c r="B76" s="14" t="str">
        <f>IFERROR(__xludf.DUMMYFUNCTION("""COMPUTED_VALUE"""),"CA-2014-128146")</f>
        <v>CA-2014-128146</v>
      </c>
      <c r="C76" s="22">
        <f>IFERROR(__xludf.DUMMYFUNCTION("""COMPUTED_VALUE"""),41811.0)</f>
        <v>41811</v>
      </c>
      <c r="D76" s="14" t="str">
        <f>IFERROR(__xludf.DUMMYFUNCTION("""COMPUTED_VALUE"""),"Consumer")</f>
        <v>Consumer</v>
      </c>
      <c r="E76" s="14" t="str">
        <f>IFERROR(__xludf.DUMMYFUNCTION("""COMPUTED_VALUE"""),"New Jersey")</f>
        <v>New Jersey</v>
      </c>
      <c r="F76" s="14" t="str">
        <f>IFERROR(__xludf.DUMMYFUNCTION("""COMPUTED_VALUE"""),"East")</f>
        <v>East</v>
      </c>
      <c r="G76" s="14">
        <f>IFERROR(__xludf.DUMMYFUNCTION("""COMPUTED_VALUE"""),1322.93)</f>
        <v>1322.93</v>
      </c>
      <c r="H76" s="14">
        <f>IFERROR(__xludf.DUMMYFUNCTION("""COMPUTED_VALUE"""),7.0)</f>
        <v>7</v>
      </c>
      <c r="I76" s="14">
        <f>IFERROR(__xludf.DUMMYFUNCTION("""COMPUTED_VALUE"""),357.1911)</f>
        <v>357.1911</v>
      </c>
      <c r="J76" s="3"/>
      <c r="K76" s="21"/>
      <c r="L76" s="21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>
      <c r="A77" s="12"/>
      <c r="B77" s="14" t="str">
        <f>IFERROR(__xludf.DUMMYFUNCTION("""COMPUTED_VALUE"""),"CA-2014-127012")</f>
        <v>CA-2014-127012</v>
      </c>
      <c r="C77" s="22">
        <f>IFERROR(__xludf.DUMMYFUNCTION("""COMPUTED_VALUE"""),41862.0)</f>
        <v>41862</v>
      </c>
      <c r="D77" s="14" t="str">
        <f>IFERROR(__xludf.DUMMYFUNCTION("""COMPUTED_VALUE"""),"Consumer")</f>
        <v>Consumer</v>
      </c>
      <c r="E77" s="14" t="str">
        <f>IFERROR(__xludf.DUMMYFUNCTION("""COMPUTED_VALUE"""),"Washington")</f>
        <v>Washington</v>
      </c>
      <c r="F77" s="14" t="str">
        <f>IFERROR(__xludf.DUMMYFUNCTION("""COMPUTED_VALUE"""),"West")</f>
        <v>West</v>
      </c>
      <c r="G77" s="14">
        <f>IFERROR(__xludf.DUMMYFUNCTION("""COMPUTED_VALUE"""),12.35)</f>
        <v>12.35</v>
      </c>
      <c r="H77" s="14">
        <f>IFERROR(__xludf.DUMMYFUNCTION("""COMPUTED_VALUE"""),1.0)</f>
        <v>1</v>
      </c>
      <c r="I77" s="14">
        <f>IFERROR(__xludf.DUMMYFUNCTION("""COMPUTED_VALUE"""),5.434)</f>
        <v>5.434</v>
      </c>
      <c r="J77" s="3"/>
      <c r="K77" s="21"/>
      <c r="L77" s="21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>
      <c r="A78" s="12"/>
      <c r="B78" s="14" t="str">
        <f>IFERROR(__xludf.DUMMYFUNCTION("""COMPUTED_VALUE"""),"CA-2014-168494")</f>
        <v>CA-2014-168494</v>
      </c>
      <c r="C78" s="23">
        <f>IFERROR(__xludf.DUMMYFUNCTION("""COMPUTED_VALUE"""),41985.0)</f>
        <v>41985</v>
      </c>
      <c r="D78" s="14" t="str">
        <f>IFERROR(__xludf.DUMMYFUNCTION("""COMPUTED_VALUE"""),"Consumer")</f>
        <v>Consumer</v>
      </c>
      <c r="E78" s="14" t="str">
        <f>IFERROR(__xludf.DUMMYFUNCTION("""COMPUTED_VALUE"""),"California")</f>
        <v>California</v>
      </c>
      <c r="F78" s="14" t="str">
        <f>IFERROR(__xludf.DUMMYFUNCTION("""COMPUTED_VALUE"""),"West")</f>
        <v>West</v>
      </c>
      <c r="G78" s="14">
        <f>IFERROR(__xludf.DUMMYFUNCTION("""COMPUTED_VALUE"""),764.688)</f>
        <v>764.688</v>
      </c>
      <c r="H78" s="14">
        <f>IFERROR(__xludf.DUMMYFUNCTION("""COMPUTED_VALUE"""),6.0)</f>
        <v>6</v>
      </c>
      <c r="I78" s="14">
        <f>IFERROR(__xludf.DUMMYFUNCTION("""COMPUTED_VALUE"""),95.586)</f>
        <v>95.586</v>
      </c>
      <c r="J78" s="3"/>
      <c r="K78" s="21"/>
      <c r="L78" s="21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>
      <c r="A79" s="12"/>
      <c r="B79" s="14" t="str">
        <f>IFERROR(__xludf.DUMMYFUNCTION("""COMPUTED_VALUE"""),"US-2014-117058")</f>
        <v>US-2014-117058</v>
      </c>
      <c r="C79" s="22">
        <f>IFERROR(__xludf.DUMMYFUNCTION("""COMPUTED_VALUE"""),41786.0)</f>
        <v>41786</v>
      </c>
      <c r="D79" s="14" t="str">
        <f>IFERROR(__xludf.DUMMYFUNCTION("""COMPUTED_VALUE"""),"Consumer")</f>
        <v>Consumer</v>
      </c>
      <c r="E79" s="14" t="str">
        <f>IFERROR(__xludf.DUMMYFUNCTION("""COMPUTED_VALUE"""),"Illinois")</f>
        <v>Illinois</v>
      </c>
      <c r="F79" s="14" t="str">
        <f>IFERROR(__xludf.DUMMYFUNCTION("""COMPUTED_VALUE"""),"Central")</f>
        <v>Central</v>
      </c>
      <c r="G79" s="14">
        <f>IFERROR(__xludf.DUMMYFUNCTION("""COMPUTED_VALUE"""),17.46)</f>
        <v>17.46</v>
      </c>
      <c r="H79" s="14">
        <f>IFERROR(__xludf.DUMMYFUNCTION("""COMPUTED_VALUE"""),6.0)</f>
        <v>6</v>
      </c>
      <c r="I79" s="14">
        <f>IFERROR(__xludf.DUMMYFUNCTION("""COMPUTED_VALUE"""),-30.555)</f>
        <v>-30.555</v>
      </c>
      <c r="J79" s="3"/>
      <c r="K79" s="21"/>
      <c r="L79" s="21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>
      <c r="A80" s="12"/>
      <c r="B80" s="14" t="str">
        <f>IFERROR(__xludf.DUMMYFUNCTION("""COMPUTED_VALUE"""),"CA-2014-122567")</f>
        <v>CA-2014-122567</v>
      </c>
      <c r="C80" s="22">
        <f>IFERROR(__xludf.DUMMYFUNCTION("""COMPUTED_VALUE"""),41686.0)</f>
        <v>41686</v>
      </c>
      <c r="D80" s="14" t="str">
        <f>IFERROR(__xludf.DUMMYFUNCTION("""COMPUTED_VALUE"""),"Consumer")</f>
        <v>Consumer</v>
      </c>
      <c r="E80" s="14" t="str">
        <f>IFERROR(__xludf.DUMMYFUNCTION("""COMPUTED_VALUE"""),"Texas")</f>
        <v>Texas</v>
      </c>
      <c r="F80" s="14" t="str">
        <f>IFERROR(__xludf.DUMMYFUNCTION("""COMPUTED_VALUE"""),"Central")</f>
        <v>Central</v>
      </c>
      <c r="G80" s="14">
        <f>IFERROR(__xludf.DUMMYFUNCTION("""COMPUTED_VALUE"""),1.08)</f>
        <v>1.08</v>
      </c>
      <c r="H80" s="14">
        <f>IFERROR(__xludf.DUMMYFUNCTION("""COMPUTED_VALUE"""),3.0)</f>
        <v>3</v>
      </c>
      <c r="I80" s="14">
        <f>IFERROR(__xludf.DUMMYFUNCTION("""COMPUTED_VALUE"""),-1.728)</f>
        <v>-1.728</v>
      </c>
      <c r="J80" s="3"/>
      <c r="K80" s="21"/>
      <c r="L80" s="21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>
      <c r="A81" s="12"/>
      <c r="B81" s="14" t="str">
        <f>IFERROR(__xludf.DUMMYFUNCTION("""COMPUTED_VALUE"""),"CA-2014-118339")</f>
        <v>CA-2014-118339</v>
      </c>
      <c r="C81" s="22">
        <f>IFERROR(__xludf.DUMMYFUNCTION("""COMPUTED_VALUE"""),41715.0)</f>
        <v>41715</v>
      </c>
      <c r="D81" s="14" t="str">
        <f>IFERROR(__xludf.DUMMYFUNCTION("""COMPUTED_VALUE"""),"Consumer")</f>
        <v>Consumer</v>
      </c>
      <c r="E81" s="14" t="str">
        <f>IFERROR(__xludf.DUMMYFUNCTION("""COMPUTED_VALUE"""),"Minnesota")</f>
        <v>Minnesota</v>
      </c>
      <c r="F81" s="14" t="str">
        <f>IFERROR(__xludf.DUMMYFUNCTION("""COMPUTED_VALUE"""),"Central")</f>
        <v>Central</v>
      </c>
      <c r="G81" s="14">
        <f>IFERROR(__xludf.DUMMYFUNCTION("""COMPUTED_VALUE"""),93.78)</f>
        <v>93.78</v>
      </c>
      <c r="H81" s="14">
        <f>IFERROR(__xludf.DUMMYFUNCTION("""COMPUTED_VALUE"""),2.0)</f>
        <v>2</v>
      </c>
      <c r="I81" s="14">
        <f>IFERROR(__xludf.DUMMYFUNCTION("""COMPUTED_VALUE"""),36.5742)</f>
        <v>36.5742</v>
      </c>
      <c r="J81" s="3"/>
      <c r="K81" s="21"/>
      <c r="L81" s="21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>
      <c r="A82" s="12"/>
      <c r="B82" s="14" t="str">
        <f>IFERROR(__xludf.DUMMYFUNCTION("""COMPUTED_VALUE"""),"CA-2014-153976")</f>
        <v>CA-2014-153976</v>
      </c>
      <c r="C82" s="22">
        <f>IFERROR(__xludf.DUMMYFUNCTION("""COMPUTED_VALUE"""),41915.0)</f>
        <v>41915</v>
      </c>
      <c r="D82" s="14" t="str">
        <f>IFERROR(__xludf.DUMMYFUNCTION("""COMPUTED_VALUE"""),"Consumer")</f>
        <v>Consumer</v>
      </c>
      <c r="E82" s="14" t="str">
        <f>IFERROR(__xludf.DUMMYFUNCTION("""COMPUTED_VALUE"""),"Illinois")</f>
        <v>Illinois</v>
      </c>
      <c r="F82" s="14" t="str">
        <f>IFERROR(__xludf.DUMMYFUNCTION("""COMPUTED_VALUE"""),"Central")</f>
        <v>Central</v>
      </c>
      <c r="G82" s="14">
        <f>IFERROR(__xludf.DUMMYFUNCTION("""COMPUTED_VALUE"""),258.279)</f>
        <v>258.279</v>
      </c>
      <c r="H82" s="14">
        <f>IFERROR(__xludf.DUMMYFUNCTION("""COMPUTED_VALUE"""),3.0)</f>
        <v>3</v>
      </c>
      <c r="I82" s="14">
        <f>IFERROR(__xludf.DUMMYFUNCTION("""COMPUTED_VALUE"""),-70.1043)</f>
        <v>-70.1043</v>
      </c>
      <c r="J82" s="3"/>
      <c r="K82" s="21"/>
      <c r="L82" s="21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>
      <c r="A83" s="12"/>
      <c r="B83" s="14" t="str">
        <f>IFERROR(__xludf.DUMMYFUNCTION("""COMPUTED_VALUE"""),"US-2014-160444")</f>
        <v>US-2014-160444</v>
      </c>
      <c r="C83" s="22">
        <f>IFERROR(__xludf.DUMMYFUNCTION("""COMPUTED_VALUE"""),41825.0)</f>
        <v>41825</v>
      </c>
      <c r="D83" s="14" t="str">
        <f>IFERROR(__xludf.DUMMYFUNCTION("""COMPUTED_VALUE"""),"Consumer")</f>
        <v>Consumer</v>
      </c>
      <c r="E83" s="14" t="str">
        <f>IFERROR(__xludf.DUMMYFUNCTION("""COMPUTED_VALUE"""),"Texas")</f>
        <v>Texas</v>
      </c>
      <c r="F83" s="14" t="str">
        <f>IFERROR(__xludf.DUMMYFUNCTION("""COMPUTED_VALUE"""),"Central")</f>
        <v>Central</v>
      </c>
      <c r="G83" s="14">
        <f>IFERROR(__xludf.DUMMYFUNCTION("""COMPUTED_VALUE"""),220.776)</f>
        <v>220.776</v>
      </c>
      <c r="H83" s="14">
        <f>IFERROR(__xludf.DUMMYFUNCTION("""COMPUTED_VALUE"""),3.0)</f>
        <v>3</v>
      </c>
      <c r="I83" s="14">
        <f>IFERROR(__xludf.DUMMYFUNCTION("""COMPUTED_VALUE"""),-44.1552)</f>
        <v>-44.1552</v>
      </c>
      <c r="J83" s="3"/>
      <c r="K83" s="21"/>
      <c r="L83" s="21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>
      <c r="A84" s="12"/>
      <c r="B84" s="14" t="str">
        <f>IFERROR(__xludf.DUMMYFUNCTION("""COMPUTED_VALUE"""),"US-2014-151925")</f>
        <v>US-2014-151925</v>
      </c>
      <c r="C84" s="22">
        <f>IFERROR(__xludf.DUMMYFUNCTION("""COMPUTED_VALUE"""),41908.0)</f>
        <v>41908</v>
      </c>
      <c r="D84" s="14" t="str">
        <f>IFERROR(__xludf.DUMMYFUNCTION("""COMPUTED_VALUE"""),"Consumer")</f>
        <v>Consumer</v>
      </c>
      <c r="E84" s="14" t="str">
        <f>IFERROR(__xludf.DUMMYFUNCTION("""COMPUTED_VALUE"""),"California")</f>
        <v>California</v>
      </c>
      <c r="F84" s="14" t="str">
        <f>IFERROR(__xludf.DUMMYFUNCTION("""COMPUTED_VALUE"""),"West")</f>
        <v>West</v>
      </c>
      <c r="G84" s="14">
        <f>IFERROR(__xludf.DUMMYFUNCTION("""COMPUTED_VALUE"""),145.568)</f>
        <v>145.568</v>
      </c>
      <c r="H84" s="14">
        <f>IFERROR(__xludf.DUMMYFUNCTION("""COMPUTED_VALUE"""),2.0)</f>
        <v>2</v>
      </c>
      <c r="I84" s="14">
        <f>IFERROR(__xludf.DUMMYFUNCTION("""COMPUTED_VALUE"""),0.0)</f>
        <v>0</v>
      </c>
      <c r="J84" s="3"/>
      <c r="K84" s="21"/>
      <c r="L84" s="21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>
      <c r="A85" s="12"/>
      <c r="B85" s="14" t="str">
        <f>IFERROR(__xludf.DUMMYFUNCTION("""COMPUTED_VALUE"""),"US-2014-157021")</f>
        <v>US-2014-157021</v>
      </c>
      <c r="C85" s="22">
        <f>IFERROR(__xludf.DUMMYFUNCTION("""COMPUTED_VALUE"""),41730.0)</f>
        <v>41730</v>
      </c>
      <c r="D85" s="14" t="str">
        <f>IFERROR(__xludf.DUMMYFUNCTION("""COMPUTED_VALUE"""),"Consumer")</f>
        <v>Consumer</v>
      </c>
      <c r="E85" s="14" t="str">
        <f>IFERROR(__xludf.DUMMYFUNCTION("""COMPUTED_VALUE"""),"California")</f>
        <v>California</v>
      </c>
      <c r="F85" s="14" t="str">
        <f>IFERROR(__xludf.DUMMYFUNCTION("""COMPUTED_VALUE"""),"West")</f>
        <v>West</v>
      </c>
      <c r="G85" s="14">
        <f>IFERROR(__xludf.DUMMYFUNCTION("""COMPUTED_VALUE"""),29.6)</f>
        <v>29.6</v>
      </c>
      <c r="H85" s="14">
        <f>IFERROR(__xludf.DUMMYFUNCTION("""COMPUTED_VALUE"""),2.0)</f>
        <v>2</v>
      </c>
      <c r="I85" s="14">
        <f>IFERROR(__xludf.DUMMYFUNCTION("""COMPUTED_VALUE"""),14.8)</f>
        <v>14.8</v>
      </c>
      <c r="J85" s="3"/>
      <c r="K85" s="21"/>
      <c r="L85" s="21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>
      <c r="A86" s="12"/>
      <c r="B86" s="14" t="str">
        <f>IFERROR(__xludf.DUMMYFUNCTION("""COMPUTED_VALUE"""),"CA-2014-126361")</f>
        <v>CA-2014-126361</v>
      </c>
      <c r="C86" s="22">
        <f>IFERROR(__xludf.DUMMYFUNCTION("""COMPUTED_VALUE"""),41855.0)</f>
        <v>41855</v>
      </c>
      <c r="D86" s="14" t="str">
        <f>IFERROR(__xludf.DUMMYFUNCTION("""COMPUTED_VALUE"""),"Consumer")</f>
        <v>Consumer</v>
      </c>
      <c r="E86" s="14" t="str">
        <f>IFERROR(__xludf.DUMMYFUNCTION("""COMPUTED_VALUE"""),"Utah")</f>
        <v>Utah</v>
      </c>
      <c r="F86" s="14" t="str">
        <f>IFERROR(__xludf.DUMMYFUNCTION("""COMPUTED_VALUE"""),"West")</f>
        <v>West</v>
      </c>
      <c r="G86" s="14">
        <f>IFERROR(__xludf.DUMMYFUNCTION("""COMPUTED_VALUE"""),1089.75)</f>
        <v>1089.75</v>
      </c>
      <c r="H86" s="14">
        <f>IFERROR(__xludf.DUMMYFUNCTION("""COMPUTED_VALUE"""),3.0)</f>
        <v>3</v>
      </c>
      <c r="I86" s="14">
        <f>IFERROR(__xludf.DUMMYFUNCTION("""COMPUTED_VALUE"""),305.13)</f>
        <v>305.13</v>
      </c>
      <c r="J86" s="3"/>
      <c r="K86" s="21"/>
      <c r="L86" s="21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>
      <c r="A87" s="12"/>
      <c r="B87" s="14" t="str">
        <f>IFERROR(__xludf.DUMMYFUNCTION("""COMPUTED_VALUE"""),"CA-2014-146640")</f>
        <v>CA-2014-146640</v>
      </c>
      <c r="C87" s="22">
        <f>IFERROR(__xludf.DUMMYFUNCTION("""COMPUTED_VALUE"""),41820.0)</f>
        <v>41820</v>
      </c>
      <c r="D87" s="14" t="str">
        <f>IFERROR(__xludf.DUMMYFUNCTION("""COMPUTED_VALUE"""),"Consumer")</f>
        <v>Consumer</v>
      </c>
      <c r="E87" s="14" t="str">
        <f>IFERROR(__xludf.DUMMYFUNCTION("""COMPUTED_VALUE"""),"New York")</f>
        <v>New York</v>
      </c>
      <c r="F87" s="14" t="str">
        <f>IFERROR(__xludf.DUMMYFUNCTION("""COMPUTED_VALUE"""),"East")</f>
        <v>East</v>
      </c>
      <c r="G87" s="14">
        <f>IFERROR(__xludf.DUMMYFUNCTION("""COMPUTED_VALUE"""),334.768)</f>
        <v>334.768</v>
      </c>
      <c r="H87" s="14">
        <f>IFERROR(__xludf.DUMMYFUNCTION("""COMPUTED_VALUE"""),7.0)</f>
        <v>7</v>
      </c>
      <c r="I87" s="14">
        <f>IFERROR(__xludf.DUMMYFUNCTION("""COMPUTED_VALUE"""),108.7996)</f>
        <v>108.7996</v>
      </c>
      <c r="J87" s="3"/>
      <c r="K87" s="21"/>
      <c r="L87" s="21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>
      <c r="A88" s="12"/>
      <c r="B88" s="14" t="str">
        <f>IFERROR(__xludf.DUMMYFUNCTION("""COMPUTED_VALUE"""),"CA-2014-120768")</f>
        <v>CA-2014-120768</v>
      </c>
      <c r="C88" s="23">
        <f>IFERROR(__xludf.DUMMYFUNCTION("""COMPUTED_VALUE"""),41992.0)</f>
        <v>41992</v>
      </c>
      <c r="D88" s="14" t="str">
        <f>IFERROR(__xludf.DUMMYFUNCTION("""COMPUTED_VALUE"""),"Consumer")</f>
        <v>Consumer</v>
      </c>
      <c r="E88" s="14" t="str">
        <f>IFERROR(__xludf.DUMMYFUNCTION("""COMPUTED_VALUE"""),"Alabama")</f>
        <v>Alabama</v>
      </c>
      <c r="F88" s="14" t="str">
        <f>IFERROR(__xludf.DUMMYFUNCTION("""COMPUTED_VALUE"""),"South")</f>
        <v>South</v>
      </c>
      <c r="G88" s="14">
        <f>IFERROR(__xludf.DUMMYFUNCTION("""COMPUTED_VALUE"""),152.76)</f>
        <v>152.76</v>
      </c>
      <c r="H88" s="14">
        <f>IFERROR(__xludf.DUMMYFUNCTION("""COMPUTED_VALUE"""),6.0)</f>
        <v>6</v>
      </c>
      <c r="I88" s="14">
        <f>IFERROR(__xludf.DUMMYFUNCTION("""COMPUTED_VALUE"""),74.8524)</f>
        <v>74.8524</v>
      </c>
      <c r="J88" s="3"/>
      <c r="K88" s="21"/>
      <c r="L88" s="21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>
      <c r="A89" s="12"/>
      <c r="B89" s="14" t="str">
        <f>IFERROR(__xludf.DUMMYFUNCTION("""COMPUTED_VALUE"""),"CA-2014-155271")</f>
        <v>CA-2014-155271</v>
      </c>
      <c r="C89" s="22">
        <f>IFERROR(__xludf.DUMMYFUNCTION("""COMPUTED_VALUE"""),41763.0)</f>
        <v>41763</v>
      </c>
      <c r="D89" s="14" t="str">
        <f>IFERROR(__xludf.DUMMYFUNCTION("""COMPUTED_VALUE"""),"Consumer")</f>
        <v>Consumer</v>
      </c>
      <c r="E89" s="14" t="str">
        <f>IFERROR(__xludf.DUMMYFUNCTION("""COMPUTED_VALUE"""),"Connecticut")</f>
        <v>Connecticut</v>
      </c>
      <c r="F89" s="14" t="str">
        <f>IFERROR(__xludf.DUMMYFUNCTION("""COMPUTED_VALUE"""),"East")</f>
        <v>East</v>
      </c>
      <c r="G89" s="14">
        <f>IFERROR(__xludf.DUMMYFUNCTION("""COMPUTED_VALUE"""),27.46)</f>
        <v>27.46</v>
      </c>
      <c r="H89" s="14">
        <f>IFERROR(__xludf.DUMMYFUNCTION("""COMPUTED_VALUE"""),2.0)</f>
        <v>2</v>
      </c>
      <c r="I89" s="14">
        <f>IFERROR(__xludf.DUMMYFUNCTION("""COMPUTED_VALUE"""),9.8856)</f>
        <v>9.8856</v>
      </c>
      <c r="J89" s="3"/>
      <c r="K89" s="21"/>
      <c r="L89" s="21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>
      <c r="A90" s="12"/>
      <c r="B90" s="14" t="str">
        <f>IFERROR(__xludf.DUMMYFUNCTION("""COMPUTED_VALUE"""),"CA-2014-151708")</f>
        <v>CA-2014-151708</v>
      </c>
      <c r="C90" s="22">
        <f>IFERROR(__xludf.DUMMYFUNCTION("""COMPUTED_VALUE"""),41859.0)</f>
        <v>41859</v>
      </c>
      <c r="D90" s="14" t="str">
        <f>IFERROR(__xludf.DUMMYFUNCTION("""COMPUTED_VALUE"""),"Consumer")</f>
        <v>Consumer</v>
      </c>
      <c r="E90" s="14" t="str">
        <f>IFERROR(__xludf.DUMMYFUNCTION("""COMPUTED_VALUE"""),"Arizona")</f>
        <v>Arizona</v>
      </c>
      <c r="F90" s="14" t="str">
        <f>IFERROR(__xludf.DUMMYFUNCTION("""COMPUTED_VALUE"""),"West")</f>
        <v>West</v>
      </c>
      <c r="G90" s="14">
        <f>IFERROR(__xludf.DUMMYFUNCTION("""COMPUTED_VALUE"""),121.376)</f>
        <v>121.376</v>
      </c>
      <c r="H90" s="14">
        <f>IFERROR(__xludf.DUMMYFUNCTION("""COMPUTED_VALUE"""),4.0)</f>
        <v>4</v>
      </c>
      <c r="I90" s="14">
        <f>IFERROR(__xludf.DUMMYFUNCTION("""COMPUTED_VALUE"""),-3.0344)</f>
        <v>-3.0344</v>
      </c>
      <c r="J90" s="3"/>
      <c r="K90" s="21"/>
      <c r="L90" s="21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>
      <c r="A91" s="12"/>
      <c r="B91" s="14" t="str">
        <f>IFERROR(__xludf.DUMMYFUNCTION("""COMPUTED_VALUE"""),"CA-2014-119032")</f>
        <v>CA-2014-119032</v>
      </c>
      <c r="C91" s="23">
        <f>IFERROR(__xludf.DUMMYFUNCTION("""COMPUTED_VALUE"""),41970.0)</f>
        <v>41970</v>
      </c>
      <c r="D91" s="14" t="str">
        <f>IFERROR(__xludf.DUMMYFUNCTION("""COMPUTED_VALUE"""),"Consumer")</f>
        <v>Consumer</v>
      </c>
      <c r="E91" s="14" t="str">
        <f>IFERROR(__xludf.DUMMYFUNCTION("""COMPUTED_VALUE"""),"New York")</f>
        <v>New York</v>
      </c>
      <c r="F91" s="14" t="str">
        <f>IFERROR(__xludf.DUMMYFUNCTION("""COMPUTED_VALUE"""),"East")</f>
        <v>East</v>
      </c>
      <c r="G91" s="14">
        <f>IFERROR(__xludf.DUMMYFUNCTION("""COMPUTED_VALUE"""),3.76)</f>
        <v>3.76</v>
      </c>
      <c r="H91" s="14">
        <f>IFERROR(__xludf.DUMMYFUNCTION("""COMPUTED_VALUE"""),2.0)</f>
        <v>2</v>
      </c>
      <c r="I91" s="14">
        <f>IFERROR(__xludf.DUMMYFUNCTION("""COMPUTED_VALUE"""),1.316)</f>
        <v>1.316</v>
      </c>
      <c r="J91" s="3"/>
      <c r="K91" s="21"/>
      <c r="L91" s="21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>
      <c r="A92" s="12"/>
      <c r="B92" s="14" t="str">
        <f>IFERROR(__xludf.DUMMYFUNCTION("""COMPUTED_VALUE"""),"CA-2014-136280")</f>
        <v>CA-2014-136280</v>
      </c>
      <c r="C92" s="23">
        <f>IFERROR(__xludf.DUMMYFUNCTION("""COMPUTED_VALUE"""),41972.0)</f>
        <v>41972</v>
      </c>
      <c r="D92" s="14" t="str">
        <f>IFERROR(__xludf.DUMMYFUNCTION("""COMPUTED_VALUE"""),"Consumer")</f>
        <v>Consumer</v>
      </c>
      <c r="E92" s="14" t="str">
        <f>IFERROR(__xludf.DUMMYFUNCTION("""COMPUTED_VALUE"""),"Pennsylvania")</f>
        <v>Pennsylvania</v>
      </c>
      <c r="F92" s="14" t="str">
        <f>IFERROR(__xludf.DUMMYFUNCTION("""COMPUTED_VALUE"""),"East")</f>
        <v>East</v>
      </c>
      <c r="G92" s="14">
        <f>IFERROR(__xludf.DUMMYFUNCTION("""COMPUTED_VALUE"""),5.04)</f>
        <v>5.04</v>
      </c>
      <c r="H92" s="14">
        <f>IFERROR(__xludf.DUMMYFUNCTION("""COMPUTED_VALUE"""),2.0)</f>
        <v>2</v>
      </c>
      <c r="I92" s="14">
        <f>IFERROR(__xludf.DUMMYFUNCTION("""COMPUTED_VALUE"""),1.764)</f>
        <v>1.764</v>
      </c>
      <c r="J92" s="3"/>
      <c r="K92" s="21"/>
      <c r="L92" s="21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>
      <c r="A93" s="12"/>
      <c r="B93" s="14" t="str">
        <f>IFERROR(__xludf.DUMMYFUNCTION("""COMPUTED_VALUE"""),"CA-2014-123925")</f>
        <v>CA-2014-123925</v>
      </c>
      <c r="C93" s="23">
        <f>IFERROR(__xludf.DUMMYFUNCTION("""COMPUTED_VALUE"""),41990.0)</f>
        <v>41990</v>
      </c>
      <c r="D93" s="14" t="str">
        <f>IFERROR(__xludf.DUMMYFUNCTION("""COMPUTED_VALUE"""),"Consumer")</f>
        <v>Consumer</v>
      </c>
      <c r="E93" s="14" t="str">
        <f>IFERROR(__xludf.DUMMYFUNCTION("""COMPUTED_VALUE"""),"Georgia")</f>
        <v>Georgia</v>
      </c>
      <c r="F93" s="14" t="str">
        <f>IFERROR(__xludf.DUMMYFUNCTION("""COMPUTED_VALUE"""),"South")</f>
        <v>South</v>
      </c>
      <c r="G93" s="14">
        <f>IFERROR(__xludf.DUMMYFUNCTION("""COMPUTED_VALUE"""),40.05)</f>
        <v>40.05</v>
      </c>
      <c r="H93" s="14">
        <f>IFERROR(__xludf.DUMMYFUNCTION("""COMPUTED_VALUE"""),3.0)</f>
        <v>3</v>
      </c>
      <c r="I93" s="14">
        <f>IFERROR(__xludf.DUMMYFUNCTION("""COMPUTED_VALUE"""),11.214)</f>
        <v>11.214</v>
      </c>
      <c r="J93" s="3"/>
      <c r="K93" s="21"/>
      <c r="L93" s="21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>
      <c r="A94" s="12"/>
      <c r="B94" s="14" t="str">
        <f>IFERROR(__xludf.DUMMYFUNCTION("""COMPUTED_VALUE"""),"CA-2014-111059")</f>
        <v>CA-2014-111059</v>
      </c>
      <c r="C94" s="22">
        <f>IFERROR(__xludf.DUMMYFUNCTION("""COMPUTED_VALUE"""),41673.0)</f>
        <v>41673</v>
      </c>
      <c r="D94" s="14" t="str">
        <f>IFERROR(__xludf.DUMMYFUNCTION("""COMPUTED_VALUE"""),"Consumer")</f>
        <v>Consumer</v>
      </c>
      <c r="E94" s="14" t="str">
        <f>IFERROR(__xludf.DUMMYFUNCTION("""COMPUTED_VALUE"""),"Washington")</f>
        <v>Washington</v>
      </c>
      <c r="F94" s="14" t="str">
        <f>IFERROR(__xludf.DUMMYFUNCTION("""COMPUTED_VALUE"""),"West")</f>
        <v>West</v>
      </c>
      <c r="G94" s="14">
        <f>IFERROR(__xludf.DUMMYFUNCTION("""COMPUTED_VALUE"""),83.84)</f>
        <v>83.84</v>
      </c>
      <c r="H94" s="14">
        <f>IFERROR(__xludf.DUMMYFUNCTION("""COMPUTED_VALUE"""),2.0)</f>
        <v>2</v>
      </c>
      <c r="I94" s="14">
        <f>IFERROR(__xludf.DUMMYFUNCTION("""COMPUTED_VALUE"""),27.248)</f>
        <v>27.248</v>
      </c>
      <c r="J94" s="3"/>
      <c r="K94" s="21"/>
      <c r="L94" s="21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>
      <c r="A95" s="12"/>
      <c r="B95" s="14" t="str">
        <f>IFERROR(__xludf.DUMMYFUNCTION("""COMPUTED_VALUE"""),"CA-2014-166884")</f>
        <v>CA-2014-166884</v>
      </c>
      <c r="C95" s="22">
        <f>IFERROR(__xludf.DUMMYFUNCTION("""COMPUTED_VALUE"""),41709.0)</f>
        <v>41709</v>
      </c>
      <c r="D95" s="14" t="str">
        <f>IFERROR(__xludf.DUMMYFUNCTION("""COMPUTED_VALUE"""),"Consumer")</f>
        <v>Consumer</v>
      </c>
      <c r="E95" s="14" t="str">
        <f>IFERROR(__xludf.DUMMYFUNCTION("""COMPUTED_VALUE"""),"Ohio")</f>
        <v>Ohio</v>
      </c>
      <c r="F95" s="14" t="str">
        <f>IFERROR(__xludf.DUMMYFUNCTION("""COMPUTED_VALUE"""),"East")</f>
        <v>East</v>
      </c>
      <c r="G95" s="14">
        <f>IFERROR(__xludf.DUMMYFUNCTION("""COMPUTED_VALUE"""),8.32)</f>
        <v>8.32</v>
      </c>
      <c r="H95" s="14">
        <f>IFERROR(__xludf.DUMMYFUNCTION("""COMPUTED_VALUE"""),5.0)</f>
        <v>5</v>
      </c>
      <c r="I95" s="14">
        <f>IFERROR(__xludf.DUMMYFUNCTION("""COMPUTED_VALUE"""),2.288)</f>
        <v>2.288</v>
      </c>
      <c r="J95" s="3"/>
      <c r="K95" s="21"/>
      <c r="L95" s="21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>
      <c r="A96" s="12"/>
      <c r="B96" s="14" t="str">
        <f>IFERROR(__xludf.DUMMYFUNCTION("""COMPUTED_VALUE"""),"CA-2014-134278")</f>
        <v>CA-2014-134278</v>
      </c>
      <c r="C96" s="22">
        <f>IFERROR(__xludf.DUMMYFUNCTION("""COMPUTED_VALUE"""),41826.0)</f>
        <v>41826</v>
      </c>
      <c r="D96" s="14" t="str">
        <f>IFERROR(__xludf.DUMMYFUNCTION("""COMPUTED_VALUE"""),"Consumer")</f>
        <v>Consumer</v>
      </c>
      <c r="E96" s="14" t="str">
        <f>IFERROR(__xludf.DUMMYFUNCTION("""COMPUTED_VALUE"""),"New York")</f>
        <v>New York</v>
      </c>
      <c r="F96" s="14" t="str">
        <f>IFERROR(__xludf.DUMMYFUNCTION("""COMPUTED_VALUE"""),"East")</f>
        <v>East</v>
      </c>
      <c r="G96" s="14">
        <f>IFERROR(__xludf.DUMMYFUNCTION("""COMPUTED_VALUE"""),559.992)</f>
        <v>559.992</v>
      </c>
      <c r="H96" s="14">
        <f>IFERROR(__xludf.DUMMYFUNCTION("""COMPUTED_VALUE"""),1.0)</f>
        <v>1</v>
      </c>
      <c r="I96" s="14">
        <f>IFERROR(__xludf.DUMMYFUNCTION("""COMPUTED_VALUE"""),174.9975)</f>
        <v>174.9975</v>
      </c>
      <c r="J96" s="3"/>
      <c r="K96" s="21"/>
      <c r="L96" s="21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>
      <c r="A97" s="12"/>
      <c r="B97" s="14" t="str">
        <f>IFERROR(__xludf.DUMMYFUNCTION("""COMPUTED_VALUE"""),"CA-2014-116239")</f>
        <v>CA-2014-116239</v>
      </c>
      <c r="C97" s="22">
        <f>IFERROR(__xludf.DUMMYFUNCTION("""COMPUTED_VALUE"""),41702.0)</f>
        <v>41702</v>
      </c>
      <c r="D97" s="14" t="str">
        <f>IFERROR(__xludf.DUMMYFUNCTION("""COMPUTED_VALUE"""),"Consumer")</f>
        <v>Consumer</v>
      </c>
      <c r="E97" s="14" t="str">
        <f>IFERROR(__xludf.DUMMYFUNCTION("""COMPUTED_VALUE"""),"South Carolina")</f>
        <v>South Carolina</v>
      </c>
      <c r="F97" s="14" t="str">
        <f>IFERROR(__xludf.DUMMYFUNCTION("""COMPUTED_VALUE"""),"South")</f>
        <v>South</v>
      </c>
      <c r="G97" s="14">
        <f>IFERROR(__xludf.DUMMYFUNCTION("""COMPUTED_VALUE"""),354.9)</f>
        <v>354.9</v>
      </c>
      <c r="H97" s="14">
        <f>IFERROR(__xludf.DUMMYFUNCTION("""COMPUTED_VALUE"""),5.0)</f>
        <v>5</v>
      </c>
      <c r="I97" s="14">
        <f>IFERROR(__xludf.DUMMYFUNCTION("""COMPUTED_VALUE"""),17.745)</f>
        <v>17.745</v>
      </c>
      <c r="J97" s="3"/>
      <c r="K97" s="21"/>
      <c r="L97" s="21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>
      <c r="A98" s="12"/>
      <c r="B98" s="14" t="str">
        <f>IFERROR(__xludf.DUMMYFUNCTION("""COMPUTED_VALUE"""),"US-2014-157385")</f>
        <v>US-2014-157385</v>
      </c>
      <c r="C98" s="23">
        <f>IFERROR(__xludf.DUMMYFUNCTION("""COMPUTED_VALUE"""),41966.0)</f>
        <v>41966</v>
      </c>
      <c r="D98" s="14" t="str">
        <f>IFERROR(__xludf.DUMMYFUNCTION("""COMPUTED_VALUE"""),"Consumer")</f>
        <v>Consumer</v>
      </c>
      <c r="E98" s="14" t="str">
        <f>IFERROR(__xludf.DUMMYFUNCTION("""COMPUTED_VALUE"""),"California")</f>
        <v>California</v>
      </c>
      <c r="F98" s="14" t="str">
        <f>IFERROR(__xludf.DUMMYFUNCTION("""COMPUTED_VALUE"""),"West")</f>
        <v>West</v>
      </c>
      <c r="G98" s="14">
        <f>IFERROR(__xludf.DUMMYFUNCTION("""COMPUTED_VALUE"""),603.92)</f>
        <v>603.92</v>
      </c>
      <c r="H98" s="14">
        <f>IFERROR(__xludf.DUMMYFUNCTION("""COMPUTED_VALUE"""),5.0)</f>
        <v>5</v>
      </c>
      <c r="I98" s="14">
        <f>IFERROR(__xludf.DUMMYFUNCTION("""COMPUTED_VALUE"""),-67.941)</f>
        <v>-67.941</v>
      </c>
      <c r="J98" s="3"/>
      <c r="K98" s="21"/>
      <c r="L98" s="21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>
      <c r="A99" s="12"/>
      <c r="B99" s="14" t="str">
        <f>IFERROR(__xludf.DUMMYFUNCTION("""COMPUTED_VALUE"""),"CA-2014-101602")</f>
        <v>CA-2014-101602</v>
      </c>
      <c r="C99" s="23">
        <f>IFERROR(__xludf.DUMMYFUNCTION("""COMPUTED_VALUE"""),41988.0)</f>
        <v>41988</v>
      </c>
      <c r="D99" s="14" t="str">
        <f>IFERROR(__xludf.DUMMYFUNCTION("""COMPUTED_VALUE"""),"Consumer")</f>
        <v>Consumer</v>
      </c>
      <c r="E99" s="14" t="str">
        <f>IFERROR(__xludf.DUMMYFUNCTION("""COMPUTED_VALUE"""),"Texas")</f>
        <v>Texas</v>
      </c>
      <c r="F99" s="14" t="str">
        <f>IFERROR(__xludf.DUMMYFUNCTION("""COMPUTED_VALUE"""),"Central")</f>
        <v>Central</v>
      </c>
      <c r="G99" s="14">
        <f>IFERROR(__xludf.DUMMYFUNCTION("""COMPUTED_VALUE"""),40.68)</f>
        <v>40.68</v>
      </c>
      <c r="H99" s="14">
        <f>IFERROR(__xludf.DUMMYFUNCTION("""COMPUTED_VALUE"""),3.0)</f>
        <v>3</v>
      </c>
      <c r="I99" s="14">
        <f>IFERROR(__xludf.DUMMYFUNCTION("""COMPUTED_VALUE"""),-9.153)</f>
        <v>-9.153</v>
      </c>
      <c r="J99" s="3"/>
      <c r="K99" s="21"/>
      <c r="L99" s="21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>
      <c r="A100" s="12"/>
      <c r="B100" s="14" t="str">
        <f>IFERROR(__xludf.DUMMYFUNCTION("""COMPUTED_VALUE"""),"CA-2014-117317")</f>
        <v>CA-2014-117317</v>
      </c>
      <c r="C100" s="23">
        <f>IFERROR(__xludf.DUMMYFUNCTION("""COMPUTED_VALUE"""),41931.0)</f>
        <v>41931</v>
      </c>
      <c r="D100" s="14" t="str">
        <f>IFERROR(__xludf.DUMMYFUNCTION("""COMPUTED_VALUE"""),"Consumer")</f>
        <v>Consumer</v>
      </c>
      <c r="E100" s="14" t="str">
        <f>IFERROR(__xludf.DUMMYFUNCTION("""COMPUTED_VALUE"""),"California")</f>
        <v>California</v>
      </c>
      <c r="F100" s="14" t="str">
        <f>IFERROR(__xludf.DUMMYFUNCTION("""COMPUTED_VALUE"""),"West")</f>
        <v>West</v>
      </c>
      <c r="G100" s="14">
        <f>IFERROR(__xludf.DUMMYFUNCTION("""COMPUTED_VALUE"""),13.44)</f>
        <v>13.44</v>
      </c>
      <c r="H100" s="14">
        <f>IFERROR(__xludf.DUMMYFUNCTION("""COMPUTED_VALUE"""),3.0)</f>
        <v>3</v>
      </c>
      <c r="I100" s="14">
        <f>IFERROR(__xludf.DUMMYFUNCTION("""COMPUTED_VALUE"""),6.5856)</f>
        <v>6.5856</v>
      </c>
      <c r="J100" s="3"/>
      <c r="K100" s="21"/>
      <c r="L100" s="21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>
      <c r="A101" s="12"/>
      <c r="B101" s="14" t="str">
        <f>IFERROR(__xludf.DUMMYFUNCTION("""COMPUTED_VALUE"""),"CA-2014-168984")</f>
        <v>CA-2014-168984</v>
      </c>
      <c r="C101" s="23">
        <f>IFERROR(__xludf.DUMMYFUNCTION("""COMPUTED_VALUE"""),41969.0)</f>
        <v>41969</v>
      </c>
      <c r="D101" s="14" t="str">
        <f>IFERROR(__xludf.DUMMYFUNCTION("""COMPUTED_VALUE"""),"Consumer")</f>
        <v>Consumer</v>
      </c>
      <c r="E101" s="14" t="str">
        <f>IFERROR(__xludf.DUMMYFUNCTION("""COMPUTED_VALUE"""),"Oregon")</f>
        <v>Oregon</v>
      </c>
      <c r="F101" s="14" t="str">
        <f>IFERROR(__xludf.DUMMYFUNCTION("""COMPUTED_VALUE"""),"West")</f>
        <v>West</v>
      </c>
      <c r="G101" s="14">
        <f>IFERROR(__xludf.DUMMYFUNCTION("""COMPUTED_VALUE"""),15.552)</f>
        <v>15.552</v>
      </c>
      <c r="H101" s="14">
        <f>IFERROR(__xludf.DUMMYFUNCTION("""COMPUTED_VALUE"""),3.0)</f>
        <v>3</v>
      </c>
      <c r="I101" s="14">
        <f>IFERROR(__xludf.DUMMYFUNCTION("""COMPUTED_VALUE"""),5.4432)</f>
        <v>5.4432</v>
      </c>
      <c r="J101" s="3"/>
      <c r="K101" s="21"/>
      <c r="L101" s="21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>
      <c r="A102" s="12"/>
      <c r="B102" s="14" t="str">
        <f>IFERROR(__xludf.DUMMYFUNCTION("""COMPUTED_VALUE"""),"CA-2014-127159")</f>
        <v>CA-2014-127159</v>
      </c>
      <c r="C102" s="22">
        <f>IFERROR(__xludf.DUMMYFUNCTION("""COMPUTED_VALUE"""),41771.0)</f>
        <v>41771</v>
      </c>
      <c r="D102" s="14" t="str">
        <f>IFERROR(__xludf.DUMMYFUNCTION("""COMPUTED_VALUE"""),"Consumer")</f>
        <v>Consumer</v>
      </c>
      <c r="E102" s="14" t="str">
        <f>IFERROR(__xludf.DUMMYFUNCTION("""COMPUTED_VALUE"""),"Wisconsin")</f>
        <v>Wisconsin</v>
      </c>
      <c r="F102" s="14" t="str">
        <f>IFERROR(__xludf.DUMMYFUNCTION("""COMPUTED_VALUE"""),"Central")</f>
        <v>Central</v>
      </c>
      <c r="G102" s="14">
        <f>IFERROR(__xludf.DUMMYFUNCTION("""COMPUTED_VALUE"""),34.79)</f>
        <v>34.79</v>
      </c>
      <c r="H102" s="14">
        <f>IFERROR(__xludf.DUMMYFUNCTION("""COMPUTED_VALUE"""),7.0)</f>
        <v>7</v>
      </c>
      <c r="I102" s="14">
        <f>IFERROR(__xludf.DUMMYFUNCTION("""COMPUTED_VALUE"""),10.7849)</f>
        <v>10.7849</v>
      </c>
      <c r="J102" s="3"/>
      <c r="K102" s="21"/>
      <c r="L102" s="21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>
      <c r="A103" s="12"/>
      <c r="B103" s="14" t="str">
        <f>IFERROR(__xludf.DUMMYFUNCTION("""COMPUTED_VALUE"""),"CA-2014-142839")</f>
        <v>CA-2014-142839</v>
      </c>
      <c r="C103" s="22">
        <f>IFERROR(__xludf.DUMMYFUNCTION("""COMPUTED_VALUE"""),41867.0)</f>
        <v>41867</v>
      </c>
      <c r="D103" s="14" t="str">
        <f>IFERROR(__xludf.DUMMYFUNCTION("""COMPUTED_VALUE"""),"Consumer")</f>
        <v>Consumer</v>
      </c>
      <c r="E103" s="14" t="str">
        <f>IFERROR(__xludf.DUMMYFUNCTION("""COMPUTED_VALUE"""),"Pennsylvania")</f>
        <v>Pennsylvania</v>
      </c>
      <c r="F103" s="14" t="str">
        <f>IFERROR(__xludf.DUMMYFUNCTION("""COMPUTED_VALUE"""),"East")</f>
        <v>East</v>
      </c>
      <c r="G103" s="14">
        <f>IFERROR(__xludf.DUMMYFUNCTION("""COMPUTED_VALUE"""),853.092)</f>
        <v>853.092</v>
      </c>
      <c r="H103" s="14">
        <f>IFERROR(__xludf.DUMMYFUNCTION("""COMPUTED_VALUE"""),6.0)</f>
        <v>6</v>
      </c>
      <c r="I103" s="14">
        <f>IFERROR(__xludf.DUMMYFUNCTION("""COMPUTED_VALUE"""),-227.4912)</f>
        <v>-227.4912</v>
      </c>
      <c r="J103" s="3"/>
      <c r="K103" s="21"/>
      <c r="L103" s="21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>
      <c r="A104" s="12"/>
      <c r="B104" s="14" t="str">
        <f>IFERROR(__xludf.DUMMYFUNCTION("""COMPUTED_VALUE"""),"CA-2014-135657")</f>
        <v>CA-2014-135657</v>
      </c>
      <c r="C104" s="22">
        <f>IFERROR(__xludf.DUMMYFUNCTION("""COMPUTED_VALUE"""),41793.0)</f>
        <v>41793</v>
      </c>
      <c r="D104" s="14" t="str">
        <f>IFERROR(__xludf.DUMMYFUNCTION("""COMPUTED_VALUE"""),"Consumer")</f>
        <v>Consumer</v>
      </c>
      <c r="E104" s="14" t="str">
        <f>IFERROR(__xludf.DUMMYFUNCTION("""COMPUTED_VALUE"""),"Washington")</f>
        <v>Washington</v>
      </c>
      <c r="F104" s="14" t="str">
        <f>IFERROR(__xludf.DUMMYFUNCTION("""COMPUTED_VALUE"""),"West")</f>
        <v>West</v>
      </c>
      <c r="G104" s="14">
        <f>IFERROR(__xludf.DUMMYFUNCTION("""COMPUTED_VALUE"""),515.88)</f>
        <v>515.88</v>
      </c>
      <c r="H104" s="14">
        <f>IFERROR(__xludf.DUMMYFUNCTION("""COMPUTED_VALUE"""),6.0)</f>
        <v>6</v>
      </c>
      <c r="I104" s="14">
        <f>IFERROR(__xludf.DUMMYFUNCTION("""COMPUTED_VALUE"""),113.4936)</f>
        <v>113.4936</v>
      </c>
      <c r="J104" s="3"/>
      <c r="K104" s="21"/>
      <c r="L104" s="21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>
      <c r="A105" s="12"/>
      <c r="B105" s="14" t="str">
        <f>IFERROR(__xludf.DUMMYFUNCTION("""COMPUTED_VALUE"""),"CA-2014-133270")</f>
        <v>CA-2014-133270</v>
      </c>
      <c r="C105" s="22">
        <f>IFERROR(__xludf.DUMMYFUNCTION("""COMPUTED_VALUE"""),41796.0)</f>
        <v>41796</v>
      </c>
      <c r="D105" s="14" t="str">
        <f>IFERROR(__xludf.DUMMYFUNCTION("""COMPUTED_VALUE"""),"Consumer")</f>
        <v>Consumer</v>
      </c>
      <c r="E105" s="14" t="str">
        <f>IFERROR(__xludf.DUMMYFUNCTION("""COMPUTED_VALUE"""),"New York")</f>
        <v>New York</v>
      </c>
      <c r="F105" s="14" t="str">
        <f>IFERROR(__xludf.DUMMYFUNCTION("""COMPUTED_VALUE"""),"East")</f>
        <v>East</v>
      </c>
      <c r="G105" s="14">
        <f>IFERROR(__xludf.DUMMYFUNCTION("""COMPUTED_VALUE"""),13.36)</f>
        <v>13.36</v>
      </c>
      <c r="H105" s="14">
        <f>IFERROR(__xludf.DUMMYFUNCTION("""COMPUTED_VALUE"""),2.0)</f>
        <v>2</v>
      </c>
      <c r="I105" s="14">
        <f>IFERROR(__xludf.DUMMYFUNCTION("""COMPUTED_VALUE"""),4.9432)</f>
        <v>4.9432</v>
      </c>
      <c r="J105" s="3"/>
      <c r="K105" s="21"/>
      <c r="L105" s="21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>
      <c r="A106" s="12"/>
      <c r="B106" s="14" t="str">
        <f>IFERROR(__xludf.DUMMYFUNCTION("""COMPUTED_VALUE"""),"CA-2014-139017")</f>
        <v>CA-2014-139017</v>
      </c>
      <c r="C106" s="22">
        <f>IFERROR(__xludf.DUMMYFUNCTION("""COMPUTED_VALUE"""),41770.0)</f>
        <v>41770</v>
      </c>
      <c r="D106" s="14" t="str">
        <f>IFERROR(__xludf.DUMMYFUNCTION("""COMPUTED_VALUE"""),"Consumer")</f>
        <v>Consumer</v>
      </c>
      <c r="E106" s="14" t="str">
        <f>IFERROR(__xludf.DUMMYFUNCTION("""COMPUTED_VALUE"""),"Texas")</f>
        <v>Texas</v>
      </c>
      <c r="F106" s="14" t="str">
        <f>IFERROR(__xludf.DUMMYFUNCTION("""COMPUTED_VALUE"""),"Central")</f>
        <v>Central</v>
      </c>
      <c r="G106" s="14">
        <f>IFERROR(__xludf.DUMMYFUNCTION("""COMPUTED_VALUE"""),46.864)</f>
        <v>46.864</v>
      </c>
      <c r="H106" s="14">
        <f>IFERROR(__xludf.DUMMYFUNCTION("""COMPUTED_VALUE"""),2.0)</f>
        <v>2</v>
      </c>
      <c r="I106" s="14">
        <f>IFERROR(__xludf.DUMMYFUNCTION("""COMPUTED_VALUE"""),7.6154)</f>
        <v>7.6154</v>
      </c>
      <c r="J106" s="3"/>
      <c r="K106" s="21"/>
      <c r="L106" s="21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>
      <c r="A107" s="12"/>
      <c r="B107" s="14" t="str">
        <f>IFERROR(__xludf.DUMMYFUNCTION("""COMPUTED_VALUE"""),"CA-2014-141817")</f>
        <v>CA-2014-141817</v>
      </c>
      <c r="C107" s="22">
        <f>IFERROR(__xludf.DUMMYFUNCTION("""COMPUTED_VALUE"""),41644.0)</f>
        <v>41644</v>
      </c>
      <c r="D107" s="14" t="str">
        <f>IFERROR(__xludf.DUMMYFUNCTION("""COMPUTED_VALUE"""),"Consumer")</f>
        <v>Consumer</v>
      </c>
      <c r="E107" s="14" t="str">
        <f>IFERROR(__xludf.DUMMYFUNCTION("""COMPUTED_VALUE"""),"Pennsylvania")</f>
        <v>Pennsylvania</v>
      </c>
      <c r="F107" s="14" t="str">
        <f>IFERROR(__xludf.DUMMYFUNCTION("""COMPUTED_VALUE"""),"East")</f>
        <v>East</v>
      </c>
      <c r="G107" s="14">
        <f>IFERROR(__xludf.DUMMYFUNCTION("""COMPUTED_VALUE"""),19.536)</f>
        <v>19.536</v>
      </c>
      <c r="H107" s="14">
        <f>IFERROR(__xludf.DUMMYFUNCTION("""COMPUTED_VALUE"""),3.0)</f>
        <v>3</v>
      </c>
      <c r="I107" s="14">
        <f>IFERROR(__xludf.DUMMYFUNCTION("""COMPUTED_VALUE"""),4.884)</f>
        <v>4.884</v>
      </c>
      <c r="J107" s="3"/>
      <c r="K107" s="21"/>
      <c r="L107" s="21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>
      <c r="A108" s="12"/>
      <c r="B108" s="14" t="str">
        <f>IFERROR(__xludf.DUMMYFUNCTION("""COMPUTED_VALUE"""),"US-2014-158057")</f>
        <v>US-2014-158057</v>
      </c>
      <c r="C108" s="22">
        <f>IFERROR(__xludf.DUMMYFUNCTION("""COMPUTED_VALUE"""),41720.0)</f>
        <v>41720</v>
      </c>
      <c r="D108" s="14" t="str">
        <f>IFERROR(__xludf.DUMMYFUNCTION("""COMPUTED_VALUE"""),"Consumer")</f>
        <v>Consumer</v>
      </c>
      <c r="E108" s="14" t="str">
        <f>IFERROR(__xludf.DUMMYFUNCTION("""COMPUTED_VALUE"""),"North Carolina")</f>
        <v>North Carolina</v>
      </c>
      <c r="F108" s="14" t="str">
        <f>IFERROR(__xludf.DUMMYFUNCTION("""COMPUTED_VALUE"""),"South")</f>
        <v>South</v>
      </c>
      <c r="G108" s="14">
        <f>IFERROR(__xludf.DUMMYFUNCTION("""COMPUTED_VALUE"""),7.644)</f>
        <v>7.644</v>
      </c>
      <c r="H108" s="14">
        <f>IFERROR(__xludf.DUMMYFUNCTION("""COMPUTED_VALUE"""),4.0)</f>
        <v>4</v>
      </c>
      <c r="I108" s="14">
        <f>IFERROR(__xludf.DUMMYFUNCTION("""COMPUTED_VALUE"""),-5.8604)</f>
        <v>-5.8604</v>
      </c>
      <c r="J108" s="3"/>
      <c r="K108" s="21"/>
      <c r="L108" s="21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>
      <c r="A109" s="12"/>
      <c r="B109" s="14" t="str">
        <f>IFERROR(__xludf.DUMMYFUNCTION("""COMPUTED_VALUE"""),"CA-2014-102008")</f>
        <v>CA-2014-102008</v>
      </c>
      <c r="C109" s="22">
        <f>IFERROR(__xludf.DUMMYFUNCTION("""COMPUTED_VALUE"""),41912.0)</f>
        <v>41912</v>
      </c>
      <c r="D109" s="14" t="str">
        <f>IFERROR(__xludf.DUMMYFUNCTION("""COMPUTED_VALUE"""),"Consumer")</f>
        <v>Consumer</v>
      </c>
      <c r="E109" s="14" t="str">
        <f>IFERROR(__xludf.DUMMYFUNCTION("""COMPUTED_VALUE"""),"New York")</f>
        <v>New York</v>
      </c>
      <c r="F109" s="14" t="str">
        <f>IFERROR(__xludf.DUMMYFUNCTION("""COMPUTED_VALUE"""),"East")</f>
        <v>East</v>
      </c>
      <c r="G109" s="14">
        <f>IFERROR(__xludf.DUMMYFUNCTION("""COMPUTED_VALUE"""),48.94)</f>
        <v>48.94</v>
      </c>
      <c r="H109" s="14">
        <f>IFERROR(__xludf.DUMMYFUNCTION("""COMPUTED_VALUE"""),1.0)</f>
        <v>1</v>
      </c>
      <c r="I109" s="14">
        <f>IFERROR(__xludf.DUMMYFUNCTION("""COMPUTED_VALUE"""),24.47)</f>
        <v>24.47</v>
      </c>
      <c r="J109" s="3"/>
      <c r="K109" s="21"/>
      <c r="L109" s="21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>
      <c r="A110" s="12"/>
      <c r="B110" s="14" t="str">
        <f>IFERROR(__xludf.DUMMYFUNCTION("""COMPUTED_VALUE"""),"CA-2014-120474")</f>
        <v>CA-2014-120474</v>
      </c>
      <c r="C110" s="22">
        <f>IFERROR(__xludf.DUMMYFUNCTION("""COMPUTED_VALUE"""),41974.0)</f>
        <v>41974</v>
      </c>
      <c r="D110" s="14" t="str">
        <f>IFERROR(__xludf.DUMMYFUNCTION("""COMPUTED_VALUE"""),"Consumer")</f>
        <v>Consumer</v>
      </c>
      <c r="E110" s="14" t="str">
        <f>IFERROR(__xludf.DUMMYFUNCTION("""COMPUTED_VALUE"""),"Wisconsin")</f>
        <v>Wisconsin</v>
      </c>
      <c r="F110" s="14" t="str">
        <f>IFERROR(__xludf.DUMMYFUNCTION("""COMPUTED_VALUE"""),"Central")</f>
        <v>Central</v>
      </c>
      <c r="G110" s="14">
        <f>IFERROR(__xludf.DUMMYFUNCTION("""COMPUTED_VALUE"""),2807.84)</f>
        <v>2807.84</v>
      </c>
      <c r="H110" s="14">
        <f>IFERROR(__xludf.DUMMYFUNCTION("""COMPUTED_VALUE"""),8.0)</f>
        <v>8</v>
      </c>
      <c r="I110" s="14">
        <f>IFERROR(__xludf.DUMMYFUNCTION("""COMPUTED_VALUE"""),673.8816)</f>
        <v>673.8816</v>
      </c>
      <c r="J110" s="3"/>
      <c r="K110" s="21"/>
      <c r="L110" s="21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>
      <c r="A111" s="12"/>
      <c r="B111" s="14" t="str">
        <f>IFERROR(__xludf.DUMMYFUNCTION("""COMPUTED_VALUE"""),"CA-2014-132612")</f>
        <v>CA-2014-132612</v>
      </c>
      <c r="C111" s="22">
        <f>IFERROR(__xludf.DUMMYFUNCTION("""COMPUTED_VALUE"""),41799.0)</f>
        <v>41799</v>
      </c>
      <c r="D111" s="14" t="str">
        <f>IFERROR(__xludf.DUMMYFUNCTION("""COMPUTED_VALUE"""),"Consumer")</f>
        <v>Consumer</v>
      </c>
      <c r="E111" s="14" t="str">
        <f>IFERROR(__xludf.DUMMYFUNCTION("""COMPUTED_VALUE"""),"Virginia")</f>
        <v>Virginia</v>
      </c>
      <c r="F111" s="14" t="str">
        <f>IFERROR(__xludf.DUMMYFUNCTION("""COMPUTED_VALUE"""),"South")</f>
        <v>South</v>
      </c>
      <c r="G111" s="14">
        <f>IFERROR(__xludf.DUMMYFUNCTION("""COMPUTED_VALUE"""),1441.3)</f>
        <v>1441.3</v>
      </c>
      <c r="H111" s="14">
        <f>IFERROR(__xludf.DUMMYFUNCTION("""COMPUTED_VALUE"""),7.0)</f>
        <v>7</v>
      </c>
      <c r="I111" s="14">
        <f>IFERROR(__xludf.DUMMYFUNCTION("""COMPUTED_VALUE"""),245.021)</f>
        <v>245.021</v>
      </c>
      <c r="J111" s="3"/>
      <c r="K111" s="21"/>
      <c r="L111" s="21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>
      <c r="A112" s="12"/>
      <c r="B112" s="14" t="str">
        <f>IFERROR(__xludf.DUMMYFUNCTION("""COMPUTED_VALUE"""),"US-2014-130379")</f>
        <v>US-2014-130379</v>
      </c>
      <c r="C112" s="22">
        <f>IFERROR(__xludf.DUMMYFUNCTION("""COMPUTED_VALUE"""),41784.0)</f>
        <v>41784</v>
      </c>
      <c r="D112" s="14" t="str">
        <f>IFERROR(__xludf.DUMMYFUNCTION("""COMPUTED_VALUE"""),"Consumer")</f>
        <v>Consumer</v>
      </c>
      <c r="E112" s="14" t="str">
        <f>IFERROR(__xludf.DUMMYFUNCTION("""COMPUTED_VALUE"""),"Illinois")</f>
        <v>Illinois</v>
      </c>
      <c r="F112" s="14" t="str">
        <f>IFERROR(__xludf.DUMMYFUNCTION("""COMPUTED_VALUE"""),"Central")</f>
        <v>Central</v>
      </c>
      <c r="G112" s="14">
        <f>IFERROR(__xludf.DUMMYFUNCTION("""COMPUTED_VALUE"""),75.6)</f>
        <v>75.6</v>
      </c>
      <c r="H112" s="14">
        <f>IFERROR(__xludf.DUMMYFUNCTION("""COMPUTED_VALUE"""),2.0)</f>
        <v>2</v>
      </c>
      <c r="I112" s="14">
        <f>IFERROR(__xludf.DUMMYFUNCTION("""COMPUTED_VALUE"""),-166.32)</f>
        <v>-166.32</v>
      </c>
      <c r="J112" s="3"/>
      <c r="K112" s="21"/>
      <c r="L112" s="21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>
      <c r="A113" s="12"/>
      <c r="B113" s="14" t="str">
        <f>IFERROR(__xludf.DUMMYFUNCTION("""COMPUTED_VALUE"""),"CA-2014-103373")</f>
        <v>CA-2014-103373</v>
      </c>
      <c r="C113" s="22">
        <f>IFERROR(__xludf.DUMMYFUNCTION("""COMPUTED_VALUE"""),41777.0)</f>
        <v>41777</v>
      </c>
      <c r="D113" s="14" t="str">
        <f>IFERROR(__xludf.DUMMYFUNCTION("""COMPUTED_VALUE"""),"Consumer")</f>
        <v>Consumer</v>
      </c>
      <c r="E113" s="14" t="str">
        <f>IFERROR(__xludf.DUMMYFUNCTION("""COMPUTED_VALUE"""),"Ohio")</f>
        <v>Ohio</v>
      </c>
      <c r="F113" s="14" t="str">
        <f>IFERROR(__xludf.DUMMYFUNCTION("""COMPUTED_VALUE"""),"East")</f>
        <v>East</v>
      </c>
      <c r="G113" s="14">
        <f>IFERROR(__xludf.DUMMYFUNCTION("""COMPUTED_VALUE"""),779.796)</f>
        <v>779.796</v>
      </c>
      <c r="H113" s="14">
        <f>IFERROR(__xludf.DUMMYFUNCTION("""COMPUTED_VALUE"""),2.0)</f>
        <v>2</v>
      </c>
      <c r="I113" s="14">
        <f>IFERROR(__xludf.DUMMYFUNCTION("""COMPUTED_VALUE"""),-168.9558)</f>
        <v>-168.9558</v>
      </c>
      <c r="J113" s="3"/>
      <c r="K113" s="21"/>
      <c r="L113" s="21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>
      <c r="A114" s="12"/>
      <c r="B114" s="14" t="str">
        <f>IFERROR(__xludf.DUMMYFUNCTION("""COMPUTED_VALUE"""),"CA-2014-141278")</f>
        <v>CA-2014-141278</v>
      </c>
      <c r="C114" s="22">
        <f>IFERROR(__xludf.DUMMYFUNCTION("""COMPUTED_VALUE"""),41811.0)</f>
        <v>41811</v>
      </c>
      <c r="D114" s="14" t="str">
        <f>IFERROR(__xludf.DUMMYFUNCTION("""COMPUTED_VALUE"""),"Consumer")</f>
        <v>Consumer</v>
      </c>
      <c r="E114" s="14" t="str">
        <f>IFERROR(__xludf.DUMMYFUNCTION("""COMPUTED_VALUE"""),"Connecticut")</f>
        <v>Connecticut</v>
      </c>
      <c r="F114" s="14" t="str">
        <f>IFERROR(__xludf.DUMMYFUNCTION("""COMPUTED_VALUE"""),"East")</f>
        <v>East</v>
      </c>
      <c r="G114" s="14">
        <f>IFERROR(__xludf.DUMMYFUNCTION("""COMPUTED_VALUE"""),21.4)</f>
        <v>21.4</v>
      </c>
      <c r="H114" s="14">
        <f>IFERROR(__xludf.DUMMYFUNCTION("""COMPUTED_VALUE"""),5.0)</f>
        <v>5</v>
      </c>
      <c r="I114" s="14">
        <f>IFERROR(__xludf.DUMMYFUNCTION("""COMPUTED_VALUE"""),6.206)</f>
        <v>6.206</v>
      </c>
      <c r="J114" s="3"/>
      <c r="K114" s="21"/>
      <c r="L114" s="21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>
      <c r="A115" s="12"/>
      <c r="B115" s="14" t="str">
        <f>IFERROR(__xludf.DUMMYFUNCTION("""COMPUTED_VALUE"""),"CA-2014-151078")</f>
        <v>CA-2014-151078</v>
      </c>
      <c r="C115" s="23">
        <f>IFERROR(__xludf.DUMMYFUNCTION("""COMPUTED_VALUE"""),41955.0)</f>
        <v>41955</v>
      </c>
      <c r="D115" s="14" t="str">
        <f>IFERROR(__xludf.DUMMYFUNCTION("""COMPUTED_VALUE"""),"Consumer")</f>
        <v>Consumer</v>
      </c>
      <c r="E115" s="14" t="str">
        <f>IFERROR(__xludf.DUMMYFUNCTION("""COMPUTED_VALUE"""),"Texas")</f>
        <v>Texas</v>
      </c>
      <c r="F115" s="14" t="str">
        <f>IFERROR(__xludf.DUMMYFUNCTION("""COMPUTED_VALUE"""),"Central")</f>
        <v>Central</v>
      </c>
      <c r="G115" s="14">
        <f>IFERROR(__xludf.DUMMYFUNCTION("""COMPUTED_VALUE"""),49.632)</f>
        <v>49.632</v>
      </c>
      <c r="H115" s="14">
        <f>IFERROR(__xludf.DUMMYFUNCTION("""COMPUTED_VALUE"""),4.0)</f>
        <v>4</v>
      </c>
      <c r="I115" s="14">
        <f>IFERROR(__xludf.DUMMYFUNCTION("""COMPUTED_VALUE"""),4.9632)</f>
        <v>4.9632</v>
      </c>
      <c r="J115" s="3"/>
      <c r="K115" s="21"/>
      <c r="L115" s="21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>
      <c r="A116" s="12"/>
      <c r="B116" s="14" t="str">
        <f>IFERROR(__xludf.DUMMYFUNCTION("""COMPUTED_VALUE"""),"CA-2014-142587")</f>
        <v>CA-2014-142587</v>
      </c>
      <c r="C116" s="23">
        <f>IFERROR(__xludf.DUMMYFUNCTION("""COMPUTED_VALUE"""),41933.0)</f>
        <v>41933</v>
      </c>
      <c r="D116" s="14" t="str">
        <f>IFERROR(__xludf.DUMMYFUNCTION("""COMPUTED_VALUE"""),"Consumer")</f>
        <v>Consumer</v>
      </c>
      <c r="E116" s="14" t="str">
        <f>IFERROR(__xludf.DUMMYFUNCTION("""COMPUTED_VALUE"""),"Ohio")</f>
        <v>Ohio</v>
      </c>
      <c r="F116" s="14" t="str">
        <f>IFERROR(__xludf.DUMMYFUNCTION("""COMPUTED_VALUE"""),"East")</f>
        <v>East</v>
      </c>
      <c r="G116" s="14">
        <f>IFERROR(__xludf.DUMMYFUNCTION("""COMPUTED_VALUE"""),121.792)</f>
        <v>121.792</v>
      </c>
      <c r="H116" s="14">
        <f>IFERROR(__xludf.DUMMYFUNCTION("""COMPUTED_VALUE"""),4.0)</f>
        <v>4</v>
      </c>
      <c r="I116" s="14">
        <f>IFERROR(__xludf.DUMMYFUNCTION("""COMPUTED_VALUE"""),13.7016)</f>
        <v>13.7016</v>
      </c>
      <c r="J116" s="3"/>
      <c r="K116" s="21"/>
      <c r="L116" s="21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>
      <c r="A117" s="12"/>
      <c r="B117" s="14" t="str">
        <f>IFERROR(__xludf.DUMMYFUNCTION("""COMPUTED_VALUE"""),"CA-2014-169775")</f>
        <v>CA-2014-169775</v>
      </c>
      <c r="C117" s="22">
        <f>IFERROR(__xludf.DUMMYFUNCTION("""COMPUTED_VALUE"""),41880.0)</f>
        <v>41880</v>
      </c>
      <c r="D117" s="14" t="str">
        <f>IFERROR(__xludf.DUMMYFUNCTION("""COMPUTED_VALUE"""),"Consumer")</f>
        <v>Consumer</v>
      </c>
      <c r="E117" s="14" t="str">
        <f>IFERROR(__xludf.DUMMYFUNCTION("""COMPUTED_VALUE"""),"Florida")</f>
        <v>Florida</v>
      </c>
      <c r="F117" s="14" t="str">
        <f>IFERROR(__xludf.DUMMYFUNCTION("""COMPUTED_VALUE"""),"South")</f>
        <v>South</v>
      </c>
      <c r="G117" s="14">
        <f>IFERROR(__xludf.DUMMYFUNCTION("""COMPUTED_VALUE"""),29.808)</f>
        <v>29.808</v>
      </c>
      <c r="H117" s="14">
        <f>IFERROR(__xludf.DUMMYFUNCTION("""COMPUTED_VALUE"""),2.0)</f>
        <v>2</v>
      </c>
      <c r="I117" s="14">
        <f>IFERROR(__xludf.DUMMYFUNCTION("""COMPUTED_VALUE"""),10.8054)</f>
        <v>10.8054</v>
      </c>
      <c r="J117" s="3"/>
      <c r="K117" s="21"/>
      <c r="L117" s="21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>
      <c r="A118" s="12"/>
      <c r="B118" s="14" t="str">
        <f>IFERROR(__xludf.DUMMYFUNCTION("""COMPUTED_VALUE"""),"CA-2014-103366")</f>
        <v>CA-2014-103366</v>
      </c>
      <c r="C118" s="22">
        <f>IFERROR(__xludf.DUMMYFUNCTION("""COMPUTED_VALUE"""),41654.0)</f>
        <v>41654</v>
      </c>
      <c r="D118" s="14" t="str">
        <f>IFERROR(__xludf.DUMMYFUNCTION("""COMPUTED_VALUE"""),"Consumer")</f>
        <v>Consumer</v>
      </c>
      <c r="E118" s="14" t="str">
        <f>IFERROR(__xludf.DUMMYFUNCTION("""COMPUTED_VALUE"""),"Georgia")</f>
        <v>Georgia</v>
      </c>
      <c r="F118" s="14" t="str">
        <f>IFERROR(__xludf.DUMMYFUNCTION("""COMPUTED_VALUE"""),"South")</f>
        <v>South</v>
      </c>
      <c r="G118" s="14">
        <f>IFERROR(__xludf.DUMMYFUNCTION("""COMPUTED_VALUE"""),149.95)</f>
        <v>149.95</v>
      </c>
      <c r="H118" s="14">
        <f>IFERROR(__xludf.DUMMYFUNCTION("""COMPUTED_VALUE"""),5.0)</f>
        <v>5</v>
      </c>
      <c r="I118" s="14">
        <f>IFERROR(__xludf.DUMMYFUNCTION("""COMPUTED_VALUE"""),65.978)</f>
        <v>65.978</v>
      </c>
      <c r="J118" s="3"/>
      <c r="K118" s="21"/>
      <c r="L118" s="21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>
      <c r="A119" s="12"/>
      <c r="B119" s="14" t="str">
        <f>IFERROR(__xludf.DUMMYFUNCTION("""COMPUTED_VALUE"""),"CA-2014-148950")</f>
        <v>CA-2014-148950</v>
      </c>
      <c r="C119" s="23">
        <f>IFERROR(__xludf.DUMMYFUNCTION("""COMPUTED_VALUE"""),41987.0)</f>
        <v>41987</v>
      </c>
      <c r="D119" s="14" t="str">
        <f>IFERROR(__xludf.DUMMYFUNCTION("""COMPUTED_VALUE"""),"Consumer")</f>
        <v>Consumer</v>
      </c>
      <c r="E119" s="14" t="str">
        <f>IFERROR(__xludf.DUMMYFUNCTION("""COMPUTED_VALUE"""),"Illinois")</f>
        <v>Illinois</v>
      </c>
      <c r="F119" s="14" t="str">
        <f>IFERROR(__xludf.DUMMYFUNCTION("""COMPUTED_VALUE"""),"Central")</f>
        <v>Central</v>
      </c>
      <c r="G119" s="14">
        <f>IFERROR(__xludf.DUMMYFUNCTION("""COMPUTED_VALUE"""),5.104)</f>
        <v>5.104</v>
      </c>
      <c r="H119" s="14">
        <f>IFERROR(__xludf.DUMMYFUNCTION("""COMPUTED_VALUE"""),4.0)</f>
        <v>4</v>
      </c>
      <c r="I119" s="14">
        <f>IFERROR(__xludf.DUMMYFUNCTION("""COMPUTED_VALUE"""),-8.6768)</f>
        <v>-8.6768</v>
      </c>
      <c r="J119" s="3"/>
      <c r="K119" s="21"/>
      <c r="L119" s="21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>
      <c r="A120" s="12"/>
      <c r="B120" s="14" t="str">
        <f>IFERROR(__xludf.DUMMYFUNCTION("""COMPUTED_VALUE"""),"CA-2014-122749")</f>
        <v>CA-2014-122749</v>
      </c>
      <c r="C120" s="22">
        <f>IFERROR(__xludf.DUMMYFUNCTION("""COMPUTED_VALUE"""),41976.0)</f>
        <v>41976</v>
      </c>
      <c r="D120" s="14" t="str">
        <f>IFERROR(__xludf.DUMMYFUNCTION("""COMPUTED_VALUE"""),"Consumer")</f>
        <v>Consumer</v>
      </c>
      <c r="E120" s="14" t="str">
        <f>IFERROR(__xludf.DUMMYFUNCTION("""COMPUTED_VALUE"""),"Oklahoma")</f>
        <v>Oklahoma</v>
      </c>
      <c r="F120" s="14" t="str">
        <f>IFERROR(__xludf.DUMMYFUNCTION("""COMPUTED_VALUE"""),"Central")</f>
        <v>Central</v>
      </c>
      <c r="G120" s="14">
        <f>IFERROR(__xludf.DUMMYFUNCTION("""COMPUTED_VALUE"""),479.96)</f>
        <v>479.96</v>
      </c>
      <c r="H120" s="14">
        <f>IFERROR(__xludf.DUMMYFUNCTION("""COMPUTED_VALUE"""),4.0)</f>
        <v>4</v>
      </c>
      <c r="I120" s="14">
        <f>IFERROR(__xludf.DUMMYFUNCTION("""COMPUTED_VALUE"""),134.3888)</f>
        <v>134.3888</v>
      </c>
      <c r="J120" s="3"/>
      <c r="K120" s="21"/>
      <c r="L120" s="21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>
      <c r="A121" s="12"/>
      <c r="B121" s="14" t="str">
        <f>IFERROR(__xludf.DUMMYFUNCTION("""COMPUTED_VALUE"""),"CA-2014-116407")</f>
        <v>CA-2014-116407</v>
      </c>
      <c r="C121" s="23">
        <f>IFERROR(__xludf.DUMMYFUNCTION("""COMPUTED_VALUE"""),41958.0)</f>
        <v>41958</v>
      </c>
      <c r="D121" s="14" t="str">
        <f>IFERROR(__xludf.DUMMYFUNCTION("""COMPUTED_VALUE"""),"Consumer")</f>
        <v>Consumer</v>
      </c>
      <c r="E121" s="14" t="str">
        <f>IFERROR(__xludf.DUMMYFUNCTION("""COMPUTED_VALUE"""),"Tennessee")</f>
        <v>Tennessee</v>
      </c>
      <c r="F121" s="14" t="str">
        <f>IFERROR(__xludf.DUMMYFUNCTION("""COMPUTED_VALUE"""),"South")</f>
        <v>South</v>
      </c>
      <c r="G121" s="14">
        <f>IFERROR(__xludf.DUMMYFUNCTION("""COMPUTED_VALUE"""),4.224)</f>
        <v>4.224</v>
      </c>
      <c r="H121" s="14">
        <f>IFERROR(__xludf.DUMMYFUNCTION("""COMPUTED_VALUE"""),3.0)</f>
        <v>3</v>
      </c>
      <c r="I121" s="14">
        <f>IFERROR(__xludf.DUMMYFUNCTION("""COMPUTED_VALUE"""),0.4752)</f>
        <v>0.4752</v>
      </c>
      <c r="J121" s="3"/>
      <c r="K121" s="21"/>
      <c r="L121" s="21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>
      <c r="A122" s="12"/>
      <c r="B122" s="14" t="str">
        <f>IFERROR(__xludf.DUMMYFUNCTION("""COMPUTED_VALUE"""),"CA-2014-131051")</f>
        <v>CA-2014-131051</v>
      </c>
      <c r="C122" s="22">
        <f>IFERROR(__xludf.DUMMYFUNCTION("""COMPUTED_VALUE"""),41974.0)</f>
        <v>41974</v>
      </c>
      <c r="D122" s="14" t="str">
        <f>IFERROR(__xludf.DUMMYFUNCTION("""COMPUTED_VALUE"""),"Consumer")</f>
        <v>Consumer</v>
      </c>
      <c r="E122" s="14" t="str">
        <f>IFERROR(__xludf.DUMMYFUNCTION("""COMPUTED_VALUE"""),"California")</f>
        <v>California</v>
      </c>
      <c r="F122" s="14" t="str">
        <f>IFERROR(__xludf.DUMMYFUNCTION("""COMPUTED_VALUE"""),"West")</f>
        <v>West</v>
      </c>
      <c r="G122" s="14">
        <f>IFERROR(__xludf.DUMMYFUNCTION("""COMPUTED_VALUE"""),58.2)</f>
        <v>58.2</v>
      </c>
      <c r="H122" s="14">
        <f>IFERROR(__xludf.DUMMYFUNCTION("""COMPUTED_VALUE"""),3.0)</f>
        <v>3</v>
      </c>
      <c r="I122" s="14">
        <f>IFERROR(__xludf.DUMMYFUNCTION("""COMPUTED_VALUE"""),28.518)</f>
        <v>28.518</v>
      </c>
      <c r="J122" s="3"/>
      <c r="K122" s="21"/>
      <c r="L122" s="21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>
      <c r="A123" s="12"/>
      <c r="B123" s="14" t="str">
        <f>IFERROR(__xludf.DUMMYFUNCTION("""COMPUTED_VALUE"""),"US-2014-140116")</f>
        <v>US-2014-140116</v>
      </c>
      <c r="C123" s="22">
        <f>IFERROR(__xludf.DUMMYFUNCTION("""COMPUTED_VALUE"""),41708.0)</f>
        <v>41708</v>
      </c>
      <c r="D123" s="14" t="str">
        <f>IFERROR(__xludf.DUMMYFUNCTION("""COMPUTED_VALUE"""),"Consumer")</f>
        <v>Consumer</v>
      </c>
      <c r="E123" s="14" t="str">
        <f>IFERROR(__xludf.DUMMYFUNCTION("""COMPUTED_VALUE"""),"Colorado")</f>
        <v>Colorado</v>
      </c>
      <c r="F123" s="14" t="str">
        <f>IFERROR(__xludf.DUMMYFUNCTION("""COMPUTED_VALUE"""),"West")</f>
        <v>West</v>
      </c>
      <c r="G123" s="14">
        <f>IFERROR(__xludf.DUMMYFUNCTION("""COMPUTED_VALUE"""),636.408)</f>
        <v>636.408</v>
      </c>
      <c r="H123" s="14">
        <f>IFERROR(__xludf.DUMMYFUNCTION("""COMPUTED_VALUE"""),3.0)</f>
        <v>3</v>
      </c>
      <c r="I123" s="14">
        <f>IFERROR(__xludf.DUMMYFUNCTION("""COMPUTED_VALUE"""),-15.9102)</f>
        <v>-15.9102</v>
      </c>
      <c r="J123" s="3"/>
      <c r="K123" s="21"/>
      <c r="L123" s="21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>
      <c r="A124" s="12"/>
      <c r="B124" s="14" t="str">
        <f>IFERROR(__xludf.DUMMYFUNCTION("""COMPUTED_VALUE"""),"US-2014-167633")</f>
        <v>US-2014-167633</v>
      </c>
      <c r="C124" s="22">
        <f>IFERROR(__xludf.DUMMYFUNCTION("""COMPUTED_VALUE"""),41912.0)</f>
        <v>41912</v>
      </c>
      <c r="D124" s="14" t="str">
        <f>IFERROR(__xludf.DUMMYFUNCTION("""COMPUTED_VALUE"""),"Consumer")</f>
        <v>Consumer</v>
      </c>
      <c r="E124" s="14" t="str">
        <f>IFERROR(__xludf.DUMMYFUNCTION("""COMPUTED_VALUE"""),"Florida")</f>
        <v>Florida</v>
      </c>
      <c r="F124" s="14" t="str">
        <f>IFERROR(__xludf.DUMMYFUNCTION("""COMPUTED_VALUE"""),"South")</f>
        <v>South</v>
      </c>
      <c r="G124" s="14">
        <f>IFERROR(__xludf.DUMMYFUNCTION("""COMPUTED_VALUE"""),15.552)</f>
        <v>15.552</v>
      </c>
      <c r="H124" s="14">
        <f>IFERROR(__xludf.DUMMYFUNCTION("""COMPUTED_VALUE"""),3.0)</f>
        <v>3</v>
      </c>
      <c r="I124" s="14">
        <f>IFERROR(__xludf.DUMMYFUNCTION("""COMPUTED_VALUE"""),5.4432)</f>
        <v>5.4432</v>
      </c>
      <c r="J124" s="3"/>
      <c r="K124" s="21"/>
      <c r="L124" s="21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>
      <c r="A125" s="12"/>
      <c r="B125" s="14" t="str">
        <f>IFERROR(__xludf.DUMMYFUNCTION("""COMPUTED_VALUE"""),"CA-2014-126032")</f>
        <v>CA-2014-126032</v>
      </c>
      <c r="C125" s="22">
        <f>IFERROR(__xludf.DUMMYFUNCTION("""COMPUTED_VALUE"""),41813.0)</f>
        <v>41813</v>
      </c>
      <c r="D125" s="14" t="str">
        <f>IFERROR(__xludf.DUMMYFUNCTION("""COMPUTED_VALUE"""),"Consumer")</f>
        <v>Consumer</v>
      </c>
      <c r="E125" s="14" t="str">
        <f>IFERROR(__xludf.DUMMYFUNCTION("""COMPUTED_VALUE"""),"Pennsylvania")</f>
        <v>Pennsylvania</v>
      </c>
      <c r="F125" s="14" t="str">
        <f>IFERROR(__xludf.DUMMYFUNCTION("""COMPUTED_VALUE"""),"East")</f>
        <v>East</v>
      </c>
      <c r="G125" s="14">
        <f>IFERROR(__xludf.DUMMYFUNCTION("""COMPUTED_VALUE"""),86.376)</f>
        <v>86.376</v>
      </c>
      <c r="H125" s="14">
        <f>IFERROR(__xludf.DUMMYFUNCTION("""COMPUTED_VALUE"""),3.0)</f>
        <v>3</v>
      </c>
      <c r="I125" s="14">
        <f>IFERROR(__xludf.DUMMYFUNCTION("""COMPUTED_VALUE"""),1.0797)</f>
        <v>1.0797</v>
      </c>
      <c r="J125" s="3"/>
      <c r="K125" s="21"/>
      <c r="L125" s="21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>
      <c r="A126" s="12"/>
      <c r="B126" s="14" t="str">
        <f>IFERROR(__xludf.DUMMYFUNCTION("""COMPUTED_VALUE"""),"CA-2014-141607")</f>
        <v>CA-2014-141607</v>
      </c>
      <c r="C126" s="23">
        <f>IFERROR(__xludf.DUMMYFUNCTION("""COMPUTED_VALUE"""),41985.0)</f>
        <v>41985</v>
      </c>
      <c r="D126" s="14" t="str">
        <f>IFERROR(__xludf.DUMMYFUNCTION("""COMPUTED_VALUE"""),"Consumer")</f>
        <v>Consumer</v>
      </c>
      <c r="E126" s="14" t="str">
        <f>IFERROR(__xludf.DUMMYFUNCTION("""COMPUTED_VALUE"""),"California")</f>
        <v>California</v>
      </c>
      <c r="F126" s="14" t="str">
        <f>IFERROR(__xludf.DUMMYFUNCTION("""COMPUTED_VALUE"""),"West")</f>
        <v>West</v>
      </c>
      <c r="G126" s="14">
        <f>IFERROR(__xludf.DUMMYFUNCTION("""COMPUTED_VALUE"""),43.31)</f>
        <v>43.31</v>
      </c>
      <c r="H126" s="14">
        <f>IFERROR(__xludf.DUMMYFUNCTION("""COMPUTED_VALUE"""),1.0)</f>
        <v>1</v>
      </c>
      <c r="I126" s="14">
        <f>IFERROR(__xludf.DUMMYFUNCTION("""COMPUTED_VALUE"""),4.331)</f>
        <v>4.331</v>
      </c>
      <c r="J126" s="3"/>
      <c r="K126" s="21"/>
      <c r="L126" s="21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>
      <c r="A127" s="12"/>
      <c r="B127" s="14" t="str">
        <f>IFERROR(__xludf.DUMMYFUNCTION("""COMPUTED_VALUE"""),"CA-2014-167360")</f>
        <v>CA-2014-167360</v>
      </c>
      <c r="C127" s="23">
        <f>IFERROR(__xludf.DUMMYFUNCTION("""COMPUTED_VALUE"""),41967.0)</f>
        <v>41967</v>
      </c>
      <c r="D127" s="14" t="str">
        <f>IFERROR(__xludf.DUMMYFUNCTION("""COMPUTED_VALUE"""),"Consumer")</f>
        <v>Consumer</v>
      </c>
      <c r="E127" s="14" t="str">
        <f>IFERROR(__xludf.DUMMYFUNCTION("""COMPUTED_VALUE"""),"Missouri")</f>
        <v>Missouri</v>
      </c>
      <c r="F127" s="14" t="str">
        <f>IFERROR(__xludf.DUMMYFUNCTION("""COMPUTED_VALUE"""),"Central")</f>
        <v>Central</v>
      </c>
      <c r="G127" s="14">
        <f>IFERROR(__xludf.DUMMYFUNCTION("""COMPUTED_VALUE"""),111.79)</f>
        <v>111.79</v>
      </c>
      <c r="H127" s="14">
        <f>IFERROR(__xludf.DUMMYFUNCTION("""COMPUTED_VALUE"""),7.0)</f>
        <v>7</v>
      </c>
      <c r="I127" s="14">
        <f>IFERROR(__xludf.DUMMYFUNCTION("""COMPUTED_VALUE"""),43.5981)</f>
        <v>43.5981</v>
      </c>
      <c r="J127" s="3"/>
      <c r="K127" s="21"/>
      <c r="L127" s="21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>
      <c r="A128" s="12"/>
      <c r="B128" s="14" t="str">
        <f>IFERROR(__xludf.DUMMYFUNCTION("""COMPUTED_VALUE"""),"CA-2014-124646")</f>
        <v>CA-2014-124646</v>
      </c>
      <c r="C128" s="22">
        <f>IFERROR(__xludf.DUMMYFUNCTION("""COMPUTED_VALUE"""),41812.0)</f>
        <v>41812</v>
      </c>
      <c r="D128" s="14" t="str">
        <f>IFERROR(__xludf.DUMMYFUNCTION("""COMPUTED_VALUE"""),"Consumer")</f>
        <v>Consumer</v>
      </c>
      <c r="E128" s="14" t="str">
        <f>IFERROR(__xludf.DUMMYFUNCTION("""COMPUTED_VALUE"""),"Minnesota")</f>
        <v>Minnesota</v>
      </c>
      <c r="F128" s="14" t="str">
        <f>IFERROR(__xludf.DUMMYFUNCTION("""COMPUTED_VALUE"""),"Central")</f>
        <v>Central</v>
      </c>
      <c r="G128" s="14">
        <f>IFERROR(__xludf.DUMMYFUNCTION("""COMPUTED_VALUE"""),501.81)</f>
        <v>501.81</v>
      </c>
      <c r="H128" s="14">
        <f>IFERROR(__xludf.DUMMYFUNCTION("""COMPUTED_VALUE"""),3.0)</f>
        <v>3</v>
      </c>
      <c r="I128" s="14">
        <f>IFERROR(__xludf.DUMMYFUNCTION("""COMPUTED_VALUE"""),0.0)</f>
        <v>0</v>
      </c>
      <c r="J128" s="3"/>
      <c r="K128" s="21"/>
      <c r="L128" s="21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>
      <c r="A129" s="12"/>
      <c r="B129" s="14" t="str">
        <f>IFERROR(__xludf.DUMMYFUNCTION("""COMPUTED_VALUE"""),"CA-2014-152296")</f>
        <v>CA-2014-152296</v>
      </c>
      <c r="C129" s="22">
        <f>IFERROR(__xludf.DUMMYFUNCTION("""COMPUTED_VALUE"""),41852.0)</f>
        <v>41852</v>
      </c>
      <c r="D129" s="14" t="str">
        <f>IFERROR(__xludf.DUMMYFUNCTION("""COMPUTED_VALUE"""),"Consumer")</f>
        <v>Consumer</v>
      </c>
      <c r="E129" s="14" t="str">
        <f>IFERROR(__xludf.DUMMYFUNCTION("""COMPUTED_VALUE"""),"California")</f>
        <v>California</v>
      </c>
      <c r="F129" s="14" t="str">
        <f>IFERROR(__xludf.DUMMYFUNCTION("""COMPUTED_VALUE"""),"West")</f>
        <v>West</v>
      </c>
      <c r="G129" s="14">
        <f>IFERROR(__xludf.DUMMYFUNCTION("""COMPUTED_VALUE"""),19.752)</f>
        <v>19.752</v>
      </c>
      <c r="H129" s="14">
        <f>IFERROR(__xludf.DUMMYFUNCTION("""COMPUTED_VALUE"""),3.0)</f>
        <v>3</v>
      </c>
      <c r="I129" s="14">
        <f>IFERROR(__xludf.DUMMYFUNCTION("""COMPUTED_VALUE"""),6.9132)</f>
        <v>6.9132</v>
      </c>
      <c r="J129" s="3"/>
      <c r="K129" s="21"/>
      <c r="L129" s="21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>
      <c r="A130" s="12"/>
      <c r="B130" s="14" t="str">
        <f>IFERROR(__xludf.DUMMYFUNCTION("""COMPUTED_VALUE"""),"CA-2014-163013")</f>
        <v>CA-2014-163013</v>
      </c>
      <c r="C130" s="23">
        <f>IFERROR(__xludf.DUMMYFUNCTION("""COMPUTED_VALUE"""),41971.0)</f>
        <v>41971</v>
      </c>
      <c r="D130" s="14" t="str">
        <f>IFERROR(__xludf.DUMMYFUNCTION("""COMPUTED_VALUE"""),"Consumer")</f>
        <v>Consumer</v>
      </c>
      <c r="E130" s="14" t="str">
        <f>IFERROR(__xludf.DUMMYFUNCTION("""COMPUTED_VALUE"""),"Alabama")</f>
        <v>Alabama</v>
      </c>
      <c r="F130" s="14" t="str">
        <f>IFERROR(__xludf.DUMMYFUNCTION("""COMPUTED_VALUE"""),"South")</f>
        <v>South</v>
      </c>
      <c r="G130" s="14">
        <f>IFERROR(__xludf.DUMMYFUNCTION("""COMPUTED_VALUE"""),14.67)</f>
        <v>14.67</v>
      </c>
      <c r="H130" s="14">
        <f>IFERROR(__xludf.DUMMYFUNCTION("""COMPUTED_VALUE"""),3.0)</f>
        <v>3</v>
      </c>
      <c r="I130" s="14">
        <f>IFERROR(__xludf.DUMMYFUNCTION("""COMPUTED_VALUE"""),3.9609)</f>
        <v>3.9609</v>
      </c>
      <c r="J130" s="3"/>
      <c r="K130" s="21"/>
      <c r="L130" s="21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>
      <c r="A131" s="12"/>
      <c r="B131" s="14" t="str">
        <f>IFERROR(__xludf.DUMMYFUNCTION("""COMPUTED_VALUE"""),"US-2014-165659")</f>
        <v>US-2014-165659</v>
      </c>
      <c r="C131" s="22">
        <f>IFERROR(__xludf.DUMMYFUNCTION("""COMPUTED_VALUE"""),41791.0)</f>
        <v>41791</v>
      </c>
      <c r="D131" s="14" t="str">
        <f>IFERROR(__xludf.DUMMYFUNCTION("""COMPUTED_VALUE"""),"Consumer")</f>
        <v>Consumer</v>
      </c>
      <c r="E131" s="14" t="str">
        <f>IFERROR(__xludf.DUMMYFUNCTION("""COMPUTED_VALUE"""),"Arkansas")</f>
        <v>Arkansas</v>
      </c>
      <c r="F131" s="14" t="str">
        <f>IFERROR(__xludf.DUMMYFUNCTION("""COMPUTED_VALUE"""),"South")</f>
        <v>South</v>
      </c>
      <c r="G131" s="14">
        <f>IFERROR(__xludf.DUMMYFUNCTION("""COMPUTED_VALUE"""),22.2)</f>
        <v>22.2</v>
      </c>
      <c r="H131" s="14">
        <f>IFERROR(__xludf.DUMMYFUNCTION("""COMPUTED_VALUE"""),6.0)</f>
        <v>6</v>
      </c>
      <c r="I131" s="14">
        <f>IFERROR(__xludf.DUMMYFUNCTION("""COMPUTED_VALUE"""),9.102)</f>
        <v>9.102</v>
      </c>
      <c r="J131" s="3"/>
      <c r="K131" s="21"/>
      <c r="L131" s="21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>
      <c r="A132" s="12"/>
      <c r="B132" s="14" t="str">
        <f>IFERROR(__xludf.DUMMYFUNCTION("""COMPUTED_VALUE"""),"CA-2014-125556")</f>
        <v>CA-2014-125556</v>
      </c>
      <c r="C132" s="23">
        <f>IFERROR(__xludf.DUMMYFUNCTION("""COMPUTED_VALUE"""),41957.0)</f>
        <v>41957</v>
      </c>
      <c r="D132" s="14" t="str">
        <f>IFERROR(__xludf.DUMMYFUNCTION("""COMPUTED_VALUE"""),"Consumer")</f>
        <v>Consumer</v>
      </c>
      <c r="E132" s="14" t="str">
        <f>IFERROR(__xludf.DUMMYFUNCTION("""COMPUTED_VALUE"""),"Connecticut")</f>
        <v>Connecticut</v>
      </c>
      <c r="F132" s="14" t="str">
        <f>IFERROR(__xludf.DUMMYFUNCTION("""COMPUTED_VALUE"""),"East")</f>
        <v>East</v>
      </c>
      <c r="G132" s="14">
        <f>IFERROR(__xludf.DUMMYFUNCTION("""COMPUTED_VALUE"""),832.93)</f>
        <v>832.93</v>
      </c>
      <c r="H132" s="14">
        <f>IFERROR(__xludf.DUMMYFUNCTION("""COMPUTED_VALUE"""),7.0)</f>
        <v>7</v>
      </c>
      <c r="I132" s="14">
        <f>IFERROR(__xludf.DUMMYFUNCTION("""COMPUTED_VALUE"""),233.2204)</f>
        <v>233.2204</v>
      </c>
      <c r="J132" s="3"/>
      <c r="K132" s="21"/>
      <c r="L132" s="21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>
      <c r="A133" s="12"/>
      <c r="B133" s="14" t="str">
        <f>IFERROR(__xludf.DUMMYFUNCTION("""COMPUTED_VALUE"""),"CA-2014-128055")</f>
        <v>CA-2014-128055</v>
      </c>
      <c r="C133" s="22">
        <f>IFERROR(__xludf.DUMMYFUNCTION("""COMPUTED_VALUE"""),41729.0)</f>
        <v>41729</v>
      </c>
      <c r="D133" s="14" t="str">
        <f>IFERROR(__xludf.DUMMYFUNCTION("""COMPUTED_VALUE"""),"Consumer")</f>
        <v>Consumer</v>
      </c>
      <c r="E133" s="14" t="str">
        <f>IFERROR(__xludf.DUMMYFUNCTION("""COMPUTED_VALUE"""),"California")</f>
        <v>California</v>
      </c>
      <c r="F133" s="14" t="str">
        <f>IFERROR(__xludf.DUMMYFUNCTION("""COMPUTED_VALUE"""),"West")</f>
        <v>West</v>
      </c>
      <c r="G133" s="14">
        <f>IFERROR(__xludf.DUMMYFUNCTION("""COMPUTED_VALUE"""),673.568)</f>
        <v>673.568</v>
      </c>
      <c r="H133" s="14">
        <f>IFERROR(__xludf.DUMMYFUNCTION("""COMPUTED_VALUE"""),2.0)</f>
        <v>2</v>
      </c>
      <c r="I133" s="14">
        <f>IFERROR(__xludf.DUMMYFUNCTION("""COMPUTED_VALUE"""),252.588)</f>
        <v>252.588</v>
      </c>
      <c r="J133" s="3"/>
      <c r="K133" s="21"/>
      <c r="L133" s="21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>
      <c r="A134" s="12"/>
      <c r="B134" s="14" t="str">
        <f>IFERROR(__xludf.DUMMYFUNCTION("""COMPUTED_VALUE"""),"CA-2014-104283")</f>
        <v>CA-2014-104283</v>
      </c>
      <c r="C134" s="22">
        <f>IFERROR(__xludf.DUMMYFUNCTION("""COMPUTED_VALUE"""),41817.0)</f>
        <v>41817</v>
      </c>
      <c r="D134" s="14" t="str">
        <f>IFERROR(__xludf.DUMMYFUNCTION("""COMPUTED_VALUE"""),"Consumer")</f>
        <v>Consumer</v>
      </c>
      <c r="E134" s="14" t="str">
        <f>IFERROR(__xludf.DUMMYFUNCTION("""COMPUTED_VALUE"""),"Mississippi")</f>
        <v>Mississippi</v>
      </c>
      <c r="F134" s="14" t="str">
        <f>IFERROR(__xludf.DUMMYFUNCTION("""COMPUTED_VALUE"""),"South")</f>
        <v>South</v>
      </c>
      <c r="G134" s="14">
        <f>IFERROR(__xludf.DUMMYFUNCTION("""COMPUTED_VALUE"""),306.2)</f>
        <v>306.2</v>
      </c>
      <c r="H134" s="14">
        <f>IFERROR(__xludf.DUMMYFUNCTION("""COMPUTED_VALUE"""),5.0)</f>
        <v>5</v>
      </c>
      <c r="I134" s="14">
        <f>IFERROR(__xludf.DUMMYFUNCTION("""COMPUTED_VALUE"""),0.0)</f>
        <v>0</v>
      </c>
      <c r="J134" s="3"/>
      <c r="K134" s="21"/>
      <c r="L134" s="21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>
      <c r="A135" s="12"/>
      <c r="B135" s="14" t="str">
        <f>IFERROR(__xludf.DUMMYFUNCTION("""COMPUTED_VALUE"""),"CA-2014-162362")</f>
        <v>CA-2014-162362</v>
      </c>
      <c r="C135" s="23">
        <f>IFERROR(__xludf.DUMMYFUNCTION("""COMPUTED_VALUE"""),41957.0)</f>
        <v>41957</v>
      </c>
      <c r="D135" s="14" t="str">
        <f>IFERROR(__xludf.DUMMYFUNCTION("""COMPUTED_VALUE"""),"Consumer")</f>
        <v>Consumer</v>
      </c>
      <c r="E135" s="14" t="str">
        <f>IFERROR(__xludf.DUMMYFUNCTION("""COMPUTED_VALUE"""),"Michigan")</f>
        <v>Michigan</v>
      </c>
      <c r="F135" s="14" t="str">
        <f>IFERROR(__xludf.DUMMYFUNCTION("""COMPUTED_VALUE"""),"Central")</f>
        <v>Central</v>
      </c>
      <c r="G135" s="14">
        <f>IFERROR(__xludf.DUMMYFUNCTION("""COMPUTED_VALUE"""),12.72)</f>
        <v>12.72</v>
      </c>
      <c r="H135" s="14">
        <f>IFERROR(__xludf.DUMMYFUNCTION("""COMPUTED_VALUE"""),3.0)</f>
        <v>3</v>
      </c>
      <c r="I135" s="14">
        <f>IFERROR(__xludf.DUMMYFUNCTION("""COMPUTED_VALUE"""),6.36)</f>
        <v>6.36</v>
      </c>
      <c r="J135" s="3"/>
      <c r="K135" s="21"/>
      <c r="L135" s="21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>
      <c r="A136" s="12"/>
      <c r="B136" s="14" t="str">
        <f>IFERROR(__xludf.DUMMYFUNCTION("""COMPUTED_VALUE"""),"CA-2014-140886")</f>
        <v>CA-2014-140886</v>
      </c>
      <c r="C136" s="22">
        <f>IFERROR(__xludf.DUMMYFUNCTION("""COMPUTED_VALUE"""),41912.0)</f>
        <v>41912</v>
      </c>
      <c r="D136" s="14" t="str">
        <f>IFERROR(__xludf.DUMMYFUNCTION("""COMPUTED_VALUE"""),"Consumer")</f>
        <v>Consumer</v>
      </c>
      <c r="E136" s="14" t="str">
        <f>IFERROR(__xludf.DUMMYFUNCTION("""COMPUTED_VALUE"""),"Tennessee")</f>
        <v>Tennessee</v>
      </c>
      <c r="F136" s="14" t="str">
        <f>IFERROR(__xludf.DUMMYFUNCTION("""COMPUTED_VALUE"""),"South")</f>
        <v>South</v>
      </c>
      <c r="G136" s="14">
        <f>IFERROR(__xludf.DUMMYFUNCTION("""COMPUTED_VALUE"""),69.216)</f>
        <v>69.216</v>
      </c>
      <c r="H136" s="14">
        <f>IFERROR(__xludf.DUMMYFUNCTION("""COMPUTED_VALUE"""),6.0)</f>
        <v>6</v>
      </c>
      <c r="I136" s="14">
        <f>IFERROR(__xludf.DUMMYFUNCTION("""COMPUTED_VALUE"""),11.2476)</f>
        <v>11.2476</v>
      </c>
      <c r="J136" s="3"/>
      <c r="K136" s="21"/>
      <c r="L136" s="21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>
      <c r="A137" s="12"/>
      <c r="B137" s="14" t="str">
        <f>IFERROR(__xludf.DUMMYFUNCTION("""COMPUTED_VALUE"""),"CA-2014-110639")</f>
        <v>CA-2014-110639</v>
      </c>
      <c r="C137" s="22">
        <f>IFERROR(__xludf.DUMMYFUNCTION("""COMPUTED_VALUE"""),41874.0)</f>
        <v>41874</v>
      </c>
      <c r="D137" s="14" t="str">
        <f>IFERROR(__xludf.DUMMYFUNCTION("""COMPUTED_VALUE"""),"Consumer")</f>
        <v>Consumer</v>
      </c>
      <c r="E137" s="14" t="str">
        <f>IFERROR(__xludf.DUMMYFUNCTION("""COMPUTED_VALUE"""),"New York")</f>
        <v>New York</v>
      </c>
      <c r="F137" s="14" t="str">
        <f>IFERROR(__xludf.DUMMYFUNCTION("""COMPUTED_VALUE"""),"East")</f>
        <v>East</v>
      </c>
      <c r="G137" s="14">
        <f>IFERROR(__xludf.DUMMYFUNCTION("""COMPUTED_VALUE"""),25.92)</f>
        <v>25.92</v>
      </c>
      <c r="H137" s="14">
        <f>IFERROR(__xludf.DUMMYFUNCTION("""COMPUTED_VALUE"""),4.0)</f>
        <v>4</v>
      </c>
      <c r="I137" s="14">
        <f>IFERROR(__xludf.DUMMYFUNCTION("""COMPUTED_VALUE"""),12.4416)</f>
        <v>12.4416</v>
      </c>
      <c r="J137" s="3"/>
      <c r="K137" s="21"/>
      <c r="L137" s="21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>
      <c r="A138" s="12"/>
      <c r="B138" s="14" t="str">
        <f>IFERROR(__xludf.DUMMYFUNCTION("""COMPUTED_VALUE"""),"CA-2014-121727")</f>
        <v>CA-2014-121727</v>
      </c>
      <c r="C138" s="22">
        <f>IFERROR(__xludf.DUMMYFUNCTION("""COMPUTED_VALUE"""),41870.0)</f>
        <v>41870</v>
      </c>
      <c r="D138" s="14" t="str">
        <f>IFERROR(__xludf.DUMMYFUNCTION("""COMPUTED_VALUE"""),"Consumer")</f>
        <v>Consumer</v>
      </c>
      <c r="E138" s="14" t="str">
        <f>IFERROR(__xludf.DUMMYFUNCTION("""COMPUTED_VALUE"""),"Ohio")</f>
        <v>Ohio</v>
      </c>
      <c r="F138" s="14" t="str">
        <f>IFERROR(__xludf.DUMMYFUNCTION("""COMPUTED_VALUE"""),"East")</f>
        <v>East</v>
      </c>
      <c r="G138" s="14">
        <f>IFERROR(__xludf.DUMMYFUNCTION("""COMPUTED_VALUE"""),10.72)</f>
        <v>10.72</v>
      </c>
      <c r="H138" s="14">
        <f>IFERROR(__xludf.DUMMYFUNCTION("""COMPUTED_VALUE"""),2.0)</f>
        <v>2</v>
      </c>
      <c r="I138" s="14">
        <f>IFERROR(__xludf.DUMMYFUNCTION("""COMPUTED_VALUE"""),1.742)</f>
        <v>1.742</v>
      </c>
      <c r="J138" s="3"/>
      <c r="K138" s="21"/>
      <c r="L138" s="21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>
      <c r="A139" s="12"/>
      <c r="B139" s="14" t="str">
        <f>IFERROR(__xludf.DUMMYFUNCTION("""COMPUTED_VALUE"""),"US-2014-155894")</f>
        <v>US-2014-155894</v>
      </c>
      <c r="C139" s="22">
        <f>IFERROR(__xludf.DUMMYFUNCTION("""COMPUTED_VALUE"""),41846.0)</f>
        <v>41846</v>
      </c>
      <c r="D139" s="14" t="str">
        <f>IFERROR(__xludf.DUMMYFUNCTION("""COMPUTED_VALUE"""),"Consumer")</f>
        <v>Consumer</v>
      </c>
      <c r="E139" s="14" t="str">
        <f>IFERROR(__xludf.DUMMYFUNCTION("""COMPUTED_VALUE"""),"Illinois")</f>
        <v>Illinois</v>
      </c>
      <c r="F139" s="14" t="str">
        <f>IFERROR(__xludf.DUMMYFUNCTION("""COMPUTED_VALUE"""),"Central")</f>
        <v>Central</v>
      </c>
      <c r="G139" s="14">
        <f>IFERROR(__xludf.DUMMYFUNCTION("""COMPUTED_VALUE"""),123.552)</f>
        <v>123.552</v>
      </c>
      <c r="H139" s="14">
        <f>IFERROR(__xludf.DUMMYFUNCTION("""COMPUTED_VALUE"""),3.0)</f>
        <v>3</v>
      </c>
      <c r="I139" s="14">
        <f>IFERROR(__xludf.DUMMYFUNCTION("""COMPUTED_VALUE"""),-29.3436)</f>
        <v>-29.3436</v>
      </c>
      <c r="J139" s="3"/>
      <c r="K139" s="21"/>
      <c r="L139" s="21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>
      <c r="A140" s="12"/>
      <c r="B140" s="14" t="str">
        <f>IFERROR(__xludf.DUMMYFUNCTION("""COMPUTED_VALUE"""),"CA-2014-102295")</f>
        <v>CA-2014-102295</v>
      </c>
      <c r="C140" s="23">
        <f>IFERROR(__xludf.DUMMYFUNCTION("""COMPUTED_VALUE"""),41967.0)</f>
        <v>41967</v>
      </c>
      <c r="D140" s="14" t="str">
        <f>IFERROR(__xludf.DUMMYFUNCTION("""COMPUTED_VALUE"""),"Consumer")</f>
        <v>Consumer</v>
      </c>
      <c r="E140" s="14" t="str">
        <f>IFERROR(__xludf.DUMMYFUNCTION("""COMPUTED_VALUE"""),"California")</f>
        <v>California</v>
      </c>
      <c r="F140" s="14" t="str">
        <f>IFERROR(__xludf.DUMMYFUNCTION("""COMPUTED_VALUE"""),"West")</f>
        <v>West</v>
      </c>
      <c r="G140" s="14">
        <f>IFERROR(__xludf.DUMMYFUNCTION("""COMPUTED_VALUE"""),120.712)</f>
        <v>120.712</v>
      </c>
      <c r="H140" s="14">
        <f>IFERROR(__xludf.DUMMYFUNCTION("""COMPUTED_VALUE"""),1.0)</f>
        <v>1</v>
      </c>
      <c r="I140" s="14">
        <f>IFERROR(__xludf.DUMMYFUNCTION("""COMPUTED_VALUE"""),-18.1068)</f>
        <v>-18.1068</v>
      </c>
      <c r="J140" s="3"/>
      <c r="K140" s="21"/>
      <c r="L140" s="21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>
      <c r="A141" s="12"/>
      <c r="B141" s="14" t="str">
        <f>IFERROR(__xludf.DUMMYFUNCTION("""COMPUTED_VALUE"""),"US-2014-164616")</f>
        <v>US-2014-164616</v>
      </c>
      <c r="C141" s="22">
        <f>IFERROR(__xludf.DUMMYFUNCTION("""COMPUTED_VALUE"""),41870.0)</f>
        <v>41870</v>
      </c>
      <c r="D141" s="14" t="str">
        <f>IFERROR(__xludf.DUMMYFUNCTION("""COMPUTED_VALUE"""),"Consumer")</f>
        <v>Consumer</v>
      </c>
      <c r="E141" s="14" t="str">
        <f>IFERROR(__xludf.DUMMYFUNCTION("""COMPUTED_VALUE"""),"Ohio")</f>
        <v>Ohio</v>
      </c>
      <c r="F141" s="14" t="str">
        <f>IFERROR(__xludf.DUMMYFUNCTION("""COMPUTED_VALUE"""),"East")</f>
        <v>East</v>
      </c>
      <c r="G141" s="14">
        <f>IFERROR(__xludf.DUMMYFUNCTION("""COMPUTED_VALUE"""),76.776)</f>
        <v>76.776</v>
      </c>
      <c r="H141" s="14">
        <f>IFERROR(__xludf.DUMMYFUNCTION("""COMPUTED_VALUE"""),4.0)</f>
        <v>4</v>
      </c>
      <c r="I141" s="14">
        <f>IFERROR(__xludf.DUMMYFUNCTION("""COMPUTED_VALUE"""),-58.8616)</f>
        <v>-58.8616</v>
      </c>
      <c r="J141" s="3"/>
      <c r="K141" s="21"/>
      <c r="L141" s="21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>
      <c r="A142" s="12"/>
      <c r="B142" s="14" t="str">
        <f>IFERROR(__xludf.DUMMYFUNCTION("""COMPUTED_VALUE"""),"CA-2014-151295")</f>
        <v>CA-2014-151295</v>
      </c>
      <c r="C142" s="23">
        <f>IFERROR(__xludf.DUMMYFUNCTION("""COMPUTED_VALUE"""),41955.0)</f>
        <v>41955</v>
      </c>
      <c r="D142" s="14" t="str">
        <f>IFERROR(__xludf.DUMMYFUNCTION("""COMPUTED_VALUE"""),"Consumer")</f>
        <v>Consumer</v>
      </c>
      <c r="E142" s="14" t="str">
        <f>IFERROR(__xludf.DUMMYFUNCTION("""COMPUTED_VALUE"""),"California")</f>
        <v>California</v>
      </c>
      <c r="F142" s="14" t="str">
        <f>IFERROR(__xludf.DUMMYFUNCTION("""COMPUTED_VALUE"""),"West")</f>
        <v>West</v>
      </c>
      <c r="G142" s="14">
        <f>IFERROR(__xludf.DUMMYFUNCTION("""COMPUTED_VALUE"""),11.96)</f>
        <v>11.96</v>
      </c>
      <c r="H142" s="14">
        <f>IFERROR(__xludf.DUMMYFUNCTION("""COMPUTED_VALUE"""),2.0)</f>
        <v>2</v>
      </c>
      <c r="I142" s="14">
        <f>IFERROR(__xludf.DUMMYFUNCTION("""COMPUTED_VALUE"""),5.8604)</f>
        <v>5.8604</v>
      </c>
      <c r="J142" s="3"/>
      <c r="K142" s="21"/>
      <c r="L142" s="21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>
      <c r="A143" s="12"/>
      <c r="B143" s="14" t="str">
        <f>IFERROR(__xludf.DUMMYFUNCTION("""COMPUTED_VALUE"""),"CA-2014-148586")</f>
        <v>CA-2014-148586</v>
      </c>
      <c r="C143" s="22">
        <f>IFERROR(__xludf.DUMMYFUNCTION("""COMPUTED_VALUE"""),41723.0)</f>
        <v>41723</v>
      </c>
      <c r="D143" s="14" t="str">
        <f>IFERROR(__xludf.DUMMYFUNCTION("""COMPUTED_VALUE"""),"Consumer")</f>
        <v>Consumer</v>
      </c>
      <c r="E143" s="14" t="str">
        <f>IFERROR(__xludf.DUMMYFUNCTION("""COMPUTED_VALUE"""),"New York")</f>
        <v>New York</v>
      </c>
      <c r="F143" s="14" t="str">
        <f>IFERROR(__xludf.DUMMYFUNCTION("""COMPUTED_VALUE"""),"East")</f>
        <v>East</v>
      </c>
      <c r="G143" s="14">
        <f>IFERROR(__xludf.DUMMYFUNCTION("""COMPUTED_VALUE"""),366.786)</f>
        <v>366.786</v>
      </c>
      <c r="H143" s="14">
        <f>IFERROR(__xludf.DUMMYFUNCTION("""COMPUTED_VALUE"""),7.0)</f>
        <v>7</v>
      </c>
      <c r="I143" s="14">
        <f>IFERROR(__xludf.DUMMYFUNCTION("""COMPUTED_VALUE"""),65.2064)</f>
        <v>65.2064</v>
      </c>
      <c r="J143" s="3"/>
      <c r="K143" s="21"/>
      <c r="L143" s="21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>
      <c r="A144" s="12"/>
      <c r="B144" s="14" t="str">
        <f>IFERROR(__xludf.DUMMYFUNCTION("""COMPUTED_VALUE"""),"CA-2014-164210")</f>
        <v>CA-2014-164210</v>
      </c>
      <c r="C144" s="23">
        <f>IFERROR(__xludf.DUMMYFUNCTION("""COMPUTED_VALUE"""),41961.0)</f>
        <v>41961</v>
      </c>
      <c r="D144" s="14" t="str">
        <f>IFERROR(__xludf.DUMMYFUNCTION("""COMPUTED_VALUE"""),"Consumer")</f>
        <v>Consumer</v>
      </c>
      <c r="E144" s="14" t="str">
        <f>IFERROR(__xludf.DUMMYFUNCTION("""COMPUTED_VALUE"""),"Colorado")</f>
        <v>Colorado</v>
      </c>
      <c r="F144" s="14" t="str">
        <f>IFERROR(__xludf.DUMMYFUNCTION("""COMPUTED_VALUE"""),"West")</f>
        <v>West</v>
      </c>
      <c r="G144" s="14">
        <f>IFERROR(__xludf.DUMMYFUNCTION("""COMPUTED_VALUE"""),145.98)</f>
        <v>145.98</v>
      </c>
      <c r="H144" s="14">
        <f>IFERROR(__xludf.DUMMYFUNCTION("""COMPUTED_VALUE"""),2.0)</f>
        <v>2</v>
      </c>
      <c r="I144" s="14">
        <f>IFERROR(__xludf.DUMMYFUNCTION("""COMPUTED_VALUE"""),-99.2664)</f>
        <v>-99.2664</v>
      </c>
      <c r="J144" s="3"/>
      <c r="K144" s="21"/>
      <c r="L144" s="21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>
      <c r="A145" s="12"/>
      <c r="B145" s="14" t="str">
        <f>IFERROR(__xludf.DUMMYFUNCTION("""COMPUTED_VALUE"""),"CA-2014-145212")</f>
        <v>CA-2014-145212</v>
      </c>
      <c r="C145" s="22">
        <f>IFERROR(__xludf.DUMMYFUNCTION("""COMPUTED_VALUE"""),41895.0)</f>
        <v>41895</v>
      </c>
      <c r="D145" s="14" t="str">
        <f>IFERROR(__xludf.DUMMYFUNCTION("""COMPUTED_VALUE"""),"Consumer")</f>
        <v>Consumer</v>
      </c>
      <c r="E145" s="14" t="str">
        <f>IFERROR(__xludf.DUMMYFUNCTION("""COMPUTED_VALUE"""),"New York")</f>
        <v>New York</v>
      </c>
      <c r="F145" s="14" t="str">
        <f>IFERROR(__xludf.DUMMYFUNCTION("""COMPUTED_VALUE"""),"East")</f>
        <v>East</v>
      </c>
      <c r="G145" s="14">
        <f>IFERROR(__xludf.DUMMYFUNCTION("""COMPUTED_VALUE"""),5.46)</f>
        <v>5.46</v>
      </c>
      <c r="H145" s="14">
        <f>IFERROR(__xludf.DUMMYFUNCTION("""COMPUTED_VALUE"""),3.0)</f>
        <v>3</v>
      </c>
      <c r="I145" s="14">
        <f>IFERROR(__xludf.DUMMYFUNCTION("""COMPUTED_VALUE"""),1.4742)</f>
        <v>1.4742</v>
      </c>
      <c r="J145" s="3"/>
      <c r="K145" s="21"/>
      <c r="L145" s="21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>
      <c r="A146" s="12"/>
      <c r="B146" s="14" t="str">
        <f>IFERROR(__xludf.DUMMYFUNCTION("""COMPUTED_VALUE"""),"CA-2014-113579")</f>
        <v>CA-2014-113579</v>
      </c>
      <c r="C146" s="23">
        <f>IFERROR(__xludf.DUMMYFUNCTION("""COMPUTED_VALUE"""),41986.0)</f>
        <v>41986</v>
      </c>
      <c r="D146" s="14" t="str">
        <f>IFERROR(__xludf.DUMMYFUNCTION("""COMPUTED_VALUE"""),"Consumer")</f>
        <v>Consumer</v>
      </c>
      <c r="E146" s="14" t="str">
        <f>IFERROR(__xludf.DUMMYFUNCTION("""COMPUTED_VALUE"""),"California")</f>
        <v>California</v>
      </c>
      <c r="F146" s="14" t="str">
        <f>IFERROR(__xludf.DUMMYFUNCTION("""COMPUTED_VALUE"""),"West")</f>
        <v>West</v>
      </c>
      <c r="G146" s="14">
        <f>IFERROR(__xludf.DUMMYFUNCTION("""COMPUTED_VALUE"""),90.24)</f>
        <v>90.24</v>
      </c>
      <c r="H146" s="14">
        <f>IFERROR(__xludf.DUMMYFUNCTION("""COMPUTED_VALUE"""),6.0)</f>
        <v>6</v>
      </c>
      <c r="I146" s="14">
        <f>IFERROR(__xludf.DUMMYFUNCTION("""COMPUTED_VALUE"""),41.5104)</f>
        <v>41.5104</v>
      </c>
      <c r="J146" s="3"/>
      <c r="K146" s="21"/>
      <c r="L146" s="21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>
      <c r="A147" s="12"/>
      <c r="B147" s="14" t="str">
        <f>IFERROR(__xludf.DUMMYFUNCTION("""COMPUTED_VALUE"""),"CA-2014-144624")</f>
        <v>CA-2014-144624</v>
      </c>
      <c r="C147" s="23">
        <f>IFERROR(__xludf.DUMMYFUNCTION("""COMPUTED_VALUE"""),41962.0)</f>
        <v>41962</v>
      </c>
      <c r="D147" s="14" t="str">
        <f>IFERROR(__xludf.DUMMYFUNCTION("""COMPUTED_VALUE"""),"Consumer")</f>
        <v>Consumer</v>
      </c>
      <c r="E147" s="14" t="str">
        <f>IFERROR(__xludf.DUMMYFUNCTION("""COMPUTED_VALUE"""),"New York")</f>
        <v>New York</v>
      </c>
      <c r="F147" s="14" t="str">
        <f>IFERROR(__xludf.DUMMYFUNCTION("""COMPUTED_VALUE"""),"East")</f>
        <v>East</v>
      </c>
      <c r="G147" s="14">
        <f>IFERROR(__xludf.DUMMYFUNCTION("""COMPUTED_VALUE"""),4548.81)</f>
        <v>4548.81</v>
      </c>
      <c r="H147" s="14">
        <f>IFERROR(__xludf.DUMMYFUNCTION("""COMPUTED_VALUE"""),7.0)</f>
        <v>7</v>
      </c>
      <c r="I147" s="14">
        <f>IFERROR(__xludf.DUMMYFUNCTION("""COMPUTED_VALUE"""),1228.1787)</f>
        <v>1228.1787</v>
      </c>
      <c r="J147" s="3"/>
      <c r="K147" s="21"/>
      <c r="L147" s="21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>
      <c r="A148" s="12"/>
      <c r="B148" s="14" t="str">
        <f>IFERROR(__xludf.DUMMYFUNCTION("""COMPUTED_VALUE"""),"CA-2014-136644")</f>
        <v>CA-2014-136644</v>
      </c>
      <c r="C148" s="22">
        <f>IFERROR(__xludf.DUMMYFUNCTION("""COMPUTED_VALUE"""),41806.0)</f>
        <v>41806</v>
      </c>
      <c r="D148" s="14" t="str">
        <f>IFERROR(__xludf.DUMMYFUNCTION("""COMPUTED_VALUE"""),"Consumer")</f>
        <v>Consumer</v>
      </c>
      <c r="E148" s="14" t="str">
        <f>IFERROR(__xludf.DUMMYFUNCTION("""COMPUTED_VALUE"""),"Indiana")</f>
        <v>Indiana</v>
      </c>
      <c r="F148" s="14" t="str">
        <f>IFERROR(__xludf.DUMMYFUNCTION("""COMPUTED_VALUE"""),"Central")</f>
        <v>Central</v>
      </c>
      <c r="G148" s="14">
        <f>IFERROR(__xludf.DUMMYFUNCTION("""COMPUTED_VALUE"""),647.84)</f>
        <v>647.84</v>
      </c>
      <c r="H148" s="14">
        <f>IFERROR(__xludf.DUMMYFUNCTION("""COMPUTED_VALUE"""),8.0)</f>
        <v>8</v>
      </c>
      <c r="I148" s="14">
        <f>IFERROR(__xludf.DUMMYFUNCTION("""COMPUTED_VALUE"""),32.392)</f>
        <v>32.392</v>
      </c>
      <c r="J148" s="3"/>
      <c r="K148" s="21"/>
      <c r="L148" s="21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>
      <c r="A149" s="12"/>
      <c r="B149" s="14" t="str">
        <f>IFERROR(__xludf.DUMMYFUNCTION("""COMPUTED_VALUE"""),"CA-2014-143917")</f>
        <v>CA-2014-143917</v>
      </c>
      <c r="C149" s="22">
        <f>IFERROR(__xludf.DUMMYFUNCTION("""COMPUTED_VALUE"""),41845.0)</f>
        <v>41845</v>
      </c>
      <c r="D149" s="14" t="str">
        <f>IFERROR(__xludf.DUMMYFUNCTION("""COMPUTED_VALUE"""),"Consumer")</f>
        <v>Consumer</v>
      </c>
      <c r="E149" s="14" t="str">
        <f>IFERROR(__xludf.DUMMYFUNCTION("""COMPUTED_VALUE"""),"California")</f>
        <v>California</v>
      </c>
      <c r="F149" s="14" t="str">
        <f>IFERROR(__xludf.DUMMYFUNCTION("""COMPUTED_VALUE"""),"West")</f>
        <v>West</v>
      </c>
      <c r="G149" s="14">
        <f>IFERROR(__xludf.DUMMYFUNCTION("""COMPUTED_VALUE"""),53.72)</f>
        <v>53.72</v>
      </c>
      <c r="H149" s="14">
        <f>IFERROR(__xludf.DUMMYFUNCTION("""COMPUTED_VALUE"""),4.0)</f>
        <v>4</v>
      </c>
      <c r="I149" s="14">
        <f>IFERROR(__xludf.DUMMYFUNCTION("""COMPUTED_VALUE"""),15.0416)</f>
        <v>15.0416</v>
      </c>
      <c r="J149" s="3"/>
      <c r="K149" s="21"/>
      <c r="L149" s="21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>
      <c r="A150" s="12"/>
      <c r="B150" s="14" t="str">
        <f>IFERROR(__xludf.DUMMYFUNCTION("""COMPUTED_VALUE"""),"CA-2014-106572")</f>
        <v>CA-2014-106572</v>
      </c>
      <c r="C150" s="22">
        <f>IFERROR(__xludf.DUMMYFUNCTION("""COMPUTED_VALUE"""),41887.0)</f>
        <v>41887</v>
      </c>
      <c r="D150" s="14" t="str">
        <f>IFERROR(__xludf.DUMMYFUNCTION("""COMPUTED_VALUE"""),"Consumer")</f>
        <v>Consumer</v>
      </c>
      <c r="E150" s="14" t="str">
        <f>IFERROR(__xludf.DUMMYFUNCTION("""COMPUTED_VALUE"""),"Ohio")</f>
        <v>Ohio</v>
      </c>
      <c r="F150" s="14" t="str">
        <f>IFERROR(__xludf.DUMMYFUNCTION("""COMPUTED_VALUE"""),"East")</f>
        <v>East</v>
      </c>
      <c r="G150" s="14">
        <f>IFERROR(__xludf.DUMMYFUNCTION("""COMPUTED_VALUE"""),264.32)</f>
        <v>264.32</v>
      </c>
      <c r="H150" s="14">
        <f>IFERROR(__xludf.DUMMYFUNCTION("""COMPUTED_VALUE"""),2.0)</f>
        <v>2</v>
      </c>
      <c r="I150" s="14">
        <f>IFERROR(__xludf.DUMMYFUNCTION("""COMPUTED_VALUE"""),19.824)</f>
        <v>19.824</v>
      </c>
      <c r="J150" s="3"/>
      <c r="K150" s="21"/>
      <c r="L150" s="21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>
      <c r="A151" s="12"/>
      <c r="B151" s="14" t="str">
        <f>IFERROR(__xludf.DUMMYFUNCTION("""COMPUTED_VALUE"""),"CA-2014-128888")</f>
        <v>CA-2014-128888</v>
      </c>
      <c r="C151" s="23">
        <f>IFERROR(__xludf.DUMMYFUNCTION("""COMPUTED_VALUE"""),41958.0)</f>
        <v>41958</v>
      </c>
      <c r="D151" s="14" t="str">
        <f>IFERROR(__xludf.DUMMYFUNCTION("""COMPUTED_VALUE"""),"Consumer")</f>
        <v>Consumer</v>
      </c>
      <c r="E151" s="14" t="str">
        <f>IFERROR(__xludf.DUMMYFUNCTION("""COMPUTED_VALUE"""),"Texas")</f>
        <v>Texas</v>
      </c>
      <c r="F151" s="14" t="str">
        <f>IFERROR(__xludf.DUMMYFUNCTION("""COMPUTED_VALUE"""),"Central")</f>
        <v>Central</v>
      </c>
      <c r="G151" s="14">
        <f>IFERROR(__xludf.DUMMYFUNCTION("""COMPUTED_VALUE"""),604.656)</f>
        <v>604.656</v>
      </c>
      <c r="H151" s="14">
        <f>IFERROR(__xludf.DUMMYFUNCTION("""COMPUTED_VALUE"""),9.0)</f>
        <v>9</v>
      </c>
      <c r="I151" s="14">
        <f>IFERROR(__xludf.DUMMYFUNCTION("""COMPUTED_VALUE"""),204.0714)</f>
        <v>204.0714</v>
      </c>
      <c r="J151" s="3"/>
      <c r="K151" s="21"/>
      <c r="L151" s="21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>
      <c r="A152" s="12"/>
      <c r="B152" s="14" t="str">
        <f>IFERROR(__xludf.DUMMYFUNCTION("""COMPUTED_VALUE"""),"CA-2014-131002")</f>
        <v>CA-2014-131002</v>
      </c>
      <c r="C152" s="22">
        <f>IFERROR(__xludf.DUMMYFUNCTION("""COMPUTED_VALUE"""),41889.0)</f>
        <v>41889</v>
      </c>
      <c r="D152" s="14" t="str">
        <f>IFERROR(__xludf.DUMMYFUNCTION("""COMPUTED_VALUE"""),"Consumer")</f>
        <v>Consumer</v>
      </c>
      <c r="E152" s="14" t="str">
        <f>IFERROR(__xludf.DUMMYFUNCTION("""COMPUTED_VALUE"""),"Oklahoma")</f>
        <v>Oklahoma</v>
      </c>
      <c r="F152" s="14" t="str">
        <f>IFERROR(__xludf.DUMMYFUNCTION("""COMPUTED_VALUE"""),"Central")</f>
        <v>Central</v>
      </c>
      <c r="G152" s="14">
        <f>IFERROR(__xludf.DUMMYFUNCTION("""COMPUTED_VALUE"""),57.69)</f>
        <v>57.69</v>
      </c>
      <c r="H152" s="14">
        <f>IFERROR(__xludf.DUMMYFUNCTION("""COMPUTED_VALUE"""),3.0)</f>
        <v>3</v>
      </c>
      <c r="I152" s="14">
        <f>IFERROR(__xludf.DUMMYFUNCTION("""COMPUTED_VALUE"""),23.6529)</f>
        <v>23.6529</v>
      </c>
      <c r="J152" s="3"/>
      <c r="K152" s="21"/>
      <c r="L152" s="21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>
      <c r="A153" s="12"/>
      <c r="B153" s="14" t="str">
        <f>IFERROR(__xludf.DUMMYFUNCTION("""COMPUTED_VALUE"""),"US-2014-160780")</f>
        <v>US-2014-160780</v>
      </c>
      <c r="C153" s="22">
        <f>IFERROR(__xludf.DUMMYFUNCTION("""COMPUTED_VALUE"""),41811.0)</f>
        <v>41811</v>
      </c>
      <c r="D153" s="14" t="str">
        <f>IFERROR(__xludf.DUMMYFUNCTION("""COMPUTED_VALUE"""),"Consumer")</f>
        <v>Consumer</v>
      </c>
      <c r="E153" s="14" t="str">
        <f>IFERROR(__xludf.DUMMYFUNCTION("""COMPUTED_VALUE"""),"Colorado")</f>
        <v>Colorado</v>
      </c>
      <c r="F153" s="14" t="str">
        <f>IFERROR(__xludf.DUMMYFUNCTION("""COMPUTED_VALUE"""),"West")</f>
        <v>West</v>
      </c>
      <c r="G153" s="14">
        <f>IFERROR(__xludf.DUMMYFUNCTION("""COMPUTED_VALUE"""),11.088)</f>
        <v>11.088</v>
      </c>
      <c r="H153" s="14">
        <f>IFERROR(__xludf.DUMMYFUNCTION("""COMPUTED_VALUE"""),7.0)</f>
        <v>7</v>
      </c>
      <c r="I153" s="14">
        <f>IFERROR(__xludf.DUMMYFUNCTION("""COMPUTED_VALUE"""),-8.1312)</f>
        <v>-8.1312</v>
      </c>
      <c r="J153" s="3"/>
      <c r="K153" s="21"/>
      <c r="L153" s="21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>
      <c r="A154" s="12"/>
      <c r="B154" s="14" t="str">
        <f>IFERROR(__xludf.DUMMYFUNCTION("""COMPUTED_VALUE"""),"CA-2014-123064")</f>
        <v>CA-2014-123064</v>
      </c>
      <c r="C154" s="22">
        <f>IFERROR(__xludf.DUMMYFUNCTION("""COMPUTED_VALUE"""),41820.0)</f>
        <v>41820</v>
      </c>
      <c r="D154" s="14" t="str">
        <f>IFERROR(__xludf.DUMMYFUNCTION("""COMPUTED_VALUE"""),"Consumer")</f>
        <v>Consumer</v>
      </c>
      <c r="E154" s="14" t="str">
        <f>IFERROR(__xludf.DUMMYFUNCTION("""COMPUTED_VALUE"""),"Illinois")</f>
        <v>Illinois</v>
      </c>
      <c r="F154" s="14" t="str">
        <f>IFERROR(__xludf.DUMMYFUNCTION("""COMPUTED_VALUE"""),"Central")</f>
        <v>Central</v>
      </c>
      <c r="G154" s="14">
        <f>IFERROR(__xludf.DUMMYFUNCTION("""COMPUTED_VALUE"""),5.248)</f>
        <v>5.248</v>
      </c>
      <c r="H154" s="14">
        <f>IFERROR(__xludf.DUMMYFUNCTION("""COMPUTED_VALUE"""),4.0)</f>
        <v>4</v>
      </c>
      <c r="I154" s="14">
        <f>IFERROR(__xludf.DUMMYFUNCTION("""COMPUTED_VALUE"""),1.64)</f>
        <v>1.64</v>
      </c>
      <c r="J154" s="3"/>
      <c r="K154" s="21"/>
      <c r="L154" s="21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>
      <c r="A155" s="12"/>
      <c r="B155" s="14" t="str">
        <f>IFERROR(__xludf.DUMMYFUNCTION("""COMPUTED_VALUE"""),"CA-2014-143182")</f>
        <v>CA-2014-143182</v>
      </c>
      <c r="C155" s="23">
        <f>IFERROR(__xludf.DUMMYFUNCTION("""COMPUTED_VALUE"""),41927.0)</f>
        <v>41927</v>
      </c>
      <c r="D155" s="14" t="str">
        <f>IFERROR(__xludf.DUMMYFUNCTION("""COMPUTED_VALUE"""),"Consumer")</f>
        <v>Consumer</v>
      </c>
      <c r="E155" s="14" t="str">
        <f>IFERROR(__xludf.DUMMYFUNCTION("""COMPUTED_VALUE"""),"Florida")</f>
        <v>Florida</v>
      </c>
      <c r="F155" s="14" t="str">
        <f>IFERROR(__xludf.DUMMYFUNCTION("""COMPUTED_VALUE"""),"South")</f>
        <v>South</v>
      </c>
      <c r="G155" s="14">
        <f>IFERROR(__xludf.DUMMYFUNCTION("""COMPUTED_VALUE"""),15.384)</f>
        <v>15.384</v>
      </c>
      <c r="H155" s="14">
        <f>IFERROR(__xludf.DUMMYFUNCTION("""COMPUTED_VALUE"""),1.0)</f>
        <v>1</v>
      </c>
      <c r="I155" s="14">
        <f>IFERROR(__xludf.DUMMYFUNCTION("""COMPUTED_VALUE"""),4.0383)</f>
        <v>4.0383</v>
      </c>
      <c r="J155" s="3"/>
      <c r="K155" s="21"/>
      <c r="L155" s="21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>
      <c r="A156" s="12"/>
      <c r="B156" s="14" t="str">
        <f>IFERROR(__xludf.DUMMYFUNCTION("""COMPUTED_VALUE"""),"CA-2014-143413")</f>
        <v>CA-2014-143413</v>
      </c>
      <c r="C156" s="22">
        <f>IFERROR(__xludf.DUMMYFUNCTION("""COMPUTED_VALUE"""),41783.0)</f>
        <v>41783</v>
      </c>
      <c r="D156" s="14" t="str">
        <f>IFERROR(__xludf.DUMMYFUNCTION("""COMPUTED_VALUE"""),"Consumer")</f>
        <v>Consumer</v>
      </c>
      <c r="E156" s="14" t="str">
        <f>IFERROR(__xludf.DUMMYFUNCTION("""COMPUTED_VALUE"""),"Maryland")</f>
        <v>Maryland</v>
      </c>
      <c r="F156" s="14" t="str">
        <f>IFERROR(__xludf.DUMMYFUNCTION("""COMPUTED_VALUE"""),"East")</f>
        <v>East</v>
      </c>
      <c r="G156" s="14">
        <f>IFERROR(__xludf.DUMMYFUNCTION("""COMPUTED_VALUE"""),116.28)</f>
        <v>116.28</v>
      </c>
      <c r="H156" s="14">
        <f>IFERROR(__xludf.DUMMYFUNCTION("""COMPUTED_VALUE"""),3.0)</f>
        <v>3</v>
      </c>
      <c r="I156" s="14">
        <f>IFERROR(__xludf.DUMMYFUNCTION("""COMPUTED_VALUE"""),56.9772)</f>
        <v>56.9772</v>
      </c>
      <c r="J156" s="3"/>
      <c r="K156" s="21"/>
      <c r="L156" s="21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>
      <c r="A157" s="12"/>
      <c r="B157" s="14" t="str">
        <f>IFERROR(__xludf.DUMMYFUNCTION("""COMPUTED_VALUE"""),"CA-2014-110100")</f>
        <v>CA-2014-110100</v>
      </c>
      <c r="C157" s="22">
        <f>IFERROR(__xludf.DUMMYFUNCTION("""COMPUTED_VALUE"""),41754.0)</f>
        <v>41754</v>
      </c>
      <c r="D157" s="14" t="str">
        <f>IFERROR(__xludf.DUMMYFUNCTION("""COMPUTED_VALUE"""),"Consumer")</f>
        <v>Consumer</v>
      </c>
      <c r="E157" s="14" t="str">
        <f>IFERROR(__xludf.DUMMYFUNCTION("""COMPUTED_VALUE"""),"North Carolina")</f>
        <v>North Carolina</v>
      </c>
      <c r="F157" s="14" t="str">
        <f>IFERROR(__xludf.DUMMYFUNCTION("""COMPUTED_VALUE"""),"South")</f>
        <v>South</v>
      </c>
      <c r="G157" s="14">
        <f>IFERROR(__xludf.DUMMYFUNCTION("""COMPUTED_VALUE"""),302.376)</f>
        <v>302.376</v>
      </c>
      <c r="H157" s="14">
        <f>IFERROR(__xludf.DUMMYFUNCTION("""COMPUTED_VALUE"""),3.0)</f>
        <v>3</v>
      </c>
      <c r="I157" s="14">
        <f>IFERROR(__xludf.DUMMYFUNCTION("""COMPUTED_VALUE"""),37.797)</f>
        <v>37.797</v>
      </c>
      <c r="J157" s="3"/>
      <c r="K157" s="21"/>
      <c r="L157" s="21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>
      <c r="A158" s="12"/>
      <c r="B158" s="14" t="str">
        <f>IFERROR(__xludf.DUMMYFUNCTION("""COMPUTED_VALUE"""),"CA-2014-100006")</f>
        <v>CA-2014-100006</v>
      </c>
      <c r="C158" s="22">
        <f>IFERROR(__xludf.DUMMYFUNCTION("""COMPUTED_VALUE"""),41889.0)</f>
        <v>41889</v>
      </c>
      <c r="D158" s="14" t="str">
        <f>IFERROR(__xludf.DUMMYFUNCTION("""COMPUTED_VALUE"""),"Consumer")</f>
        <v>Consumer</v>
      </c>
      <c r="E158" s="14" t="str">
        <f>IFERROR(__xludf.DUMMYFUNCTION("""COMPUTED_VALUE"""),"New York")</f>
        <v>New York</v>
      </c>
      <c r="F158" s="14" t="str">
        <f>IFERROR(__xludf.DUMMYFUNCTION("""COMPUTED_VALUE"""),"East")</f>
        <v>East</v>
      </c>
      <c r="G158" s="14">
        <f>IFERROR(__xludf.DUMMYFUNCTION("""COMPUTED_VALUE"""),377.97)</f>
        <v>377.97</v>
      </c>
      <c r="H158" s="14">
        <f>IFERROR(__xludf.DUMMYFUNCTION("""COMPUTED_VALUE"""),3.0)</f>
        <v>3</v>
      </c>
      <c r="I158" s="14">
        <f>IFERROR(__xludf.DUMMYFUNCTION("""COMPUTED_VALUE"""),109.6113)</f>
        <v>109.6113</v>
      </c>
      <c r="J158" s="3"/>
      <c r="K158" s="21"/>
      <c r="L158" s="21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>
      <c r="A159" s="12"/>
      <c r="B159" s="14" t="str">
        <f>IFERROR(__xludf.DUMMYFUNCTION("""COMPUTED_VALUE"""),"CA-2014-110030")</f>
        <v>CA-2014-110030</v>
      </c>
      <c r="C159" s="22">
        <f>IFERROR(__xludf.DUMMYFUNCTION("""COMPUTED_VALUE"""),41979.0)</f>
        <v>41979</v>
      </c>
      <c r="D159" s="14" t="str">
        <f>IFERROR(__xludf.DUMMYFUNCTION("""COMPUTED_VALUE"""),"Consumer")</f>
        <v>Consumer</v>
      </c>
      <c r="E159" s="14" t="str">
        <f>IFERROR(__xludf.DUMMYFUNCTION("""COMPUTED_VALUE"""),"Texas")</f>
        <v>Texas</v>
      </c>
      <c r="F159" s="14" t="str">
        <f>IFERROR(__xludf.DUMMYFUNCTION("""COMPUTED_VALUE"""),"Central")</f>
        <v>Central</v>
      </c>
      <c r="G159" s="14">
        <f>IFERROR(__xludf.DUMMYFUNCTION("""COMPUTED_VALUE"""),23.976)</f>
        <v>23.976</v>
      </c>
      <c r="H159" s="14">
        <f>IFERROR(__xludf.DUMMYFUNCTION("""COMPUTED_VALUE"""),3.0)</f>
        <v>3</v>
      </c>
      <c r="I159" s="14">
        <f>IFERROR(__xludf.DUMMYFUNCTION("""COMPUTED_VALUE"""),-14.3856)</f>
        <v>-14.3856</v>
      </c>
      <c r="J159" s="3"/>
      <c r="K159" s="21"/>
      <c r="L159" s="21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>
      <c r="A160" s="12"/>
      <c r="B160" s="14" t="str">
        <f>IFERROR(__xludf.DUMMYFUNCTION("""COMPUTED_VALUE"""),"CA-2014-153479")</f>
        <v>CA-2014-153479</v>
      </c>
      <c r="C160" s="22">
        <f>IFERROR(__xludf.DUMMYFUNCTION("""COMPUTED_VALUE"""),41916.0)</f>
        <v>41916</v>
      </c>
      <c r="D160" s="14" t="str">
        <f>IFERROR(__xludf.DUMMYFUNCTION("""COMPUTED_VALUE"""),"Consumer")</f>
        <v>Consumer</v>
      </c>
      <c r="E160" s="14" t="str">
        <f>IFERROR(__xludf.DUMMYFUNCTION("""COMPUTED_VALUE"""),"California")</f>
        <v>California</v>
      </c>
      <c r="F160" s="14" t="str">
        <f>IFERROR(__xludf.DUMMYFUNCTION("""COMPUTED_VALUE"""),"West")</f>
        <v>West</v>
      </c>
      <c r="G160" s="14">
        <f>IFERROR(__xludf.DUMMYFUNCTION("""COMPUTED_VALUE"""),14.45)</f>
        <v>14.45</v>
      </c>
      <c r="H160" s="14">
        <f>IFERROR(__xludf.DUMMYFUNCTION("""COMPUTED_VALUE"""),5.0)</f>
        <v>5</v>
      </c>
      <c r="I160" s="14">
        <f>IFERROR(__xludf.DUMMYFUNCTION("""COMPUTED_VALUE"""),6.7915)</f>
        <v>6.7915</v>
      </c>
      <c r="J160" s="3"/>
      <c r="K160" s="21"/>
      <c r="L160" s="21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>
      <c r="A161" s="12"/>
      <c r="B161" s="14" t="str">
        <f>IFERROR(__xludf.DUMMYFUNCTION("""COMPUTED_VALUE"""),"CA-2014-107594")</f>
        <v>CA-2014-107594</v>
      </c>
      <c r="C161" s="22">
        <f>IFERROR(__xludf.DUMMYFUNCTION("""COMPUTED_VALUE"""),41822.0)</f>
        <v>41822</v>
      </c>
      <c r="D161" s="14" t="str">
        <f>IFERROR(__xludf.DUMMYFUNCTION("""COMPUTED_VALUE"""),"Consumer")</f>
        <v>Consumer</v>
      </c>
      <c r="E161" s="14" t="str">
        <f>IFERROR(__xludf.DUMMYFUNCTION("""COMPUTED_VALUE"""),"New Jersey")</f>
        <v>New Jersey</v>
      </c>
      <c r="F161" s="14" t="str">
        <f>IFERROR(__xludf.DUMMYFUNCTION("""COMPUTED_VALUE"""),"East")</f>
        <v>East</v>
      </c>
      <c r="G161" s="14">
        <f>IFERROR(__xludf.DUMMYFUNCTION("""COMPUTED_VALUE"""),73.98)</f>
        <v>73.98</v>
      </c>
      <c r="H161" s="14">
        <f>IFERROR(__xludf.DUMMYFUNCTION("""COMPUTED_VALUE"""),2.0)</f>
        <v>2</v>
      </c>
      <c r="I161" s="14">
        <f>IFERROR(__xludf.DUMMYFUNCTION("""COMPUTED_VALUE"""),19.9746)</f>
        <v>19.9746</v>
      </c>
      <c r="J161" s="3"/>
      <c r="K161" s="21"/>
      <c r="L161" s="21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>
      <c r="A162" s="12"/>
      <c r="B162" s="14" t="str">
        <f>IFERROR(__xludf.DUMMYFUNCTION("""COMPUTED_VALUE"""),"CA-2014-149244")</f>
        <v>CA-2014-149244</v>
      </c>
      <c r="C162" s="22">
        <f>IFERROR(__xludf.DUMMYFUNCTION("""COMPUTED_VALUE"""),41947.0)</f>
        <v>41947</v>
      </c>
      <c r="D162" s="14" t="str">
        <f>IFERROR(__xludf.DUMMYFUNCTION("""COMPUTED_VALUE"""),"Consumer")</f>
        <v>Consumer</v>
      </c>
      <c r="E162" s="14" t="str">
        <f>IFERROR(__xludf.DUMMYFUNCTION("""COMPUTED_VALUE"""),"California")</f>
        <v>California</v>
      </c>
      <c r="F162" s="14" t="str">
        <f>IFERROR(__xludf.DUMMYFUNCTION("""COMPUTED_VALUE"""),"West")</f>
        <v>West</v>
      </c>
      <c r="G162" s="14">
        <f>IFERROR(__xludf.DUMMYFUNCTION("""COMPUTED_VALUE"""),35.34)</f>
        <v>35.34</v>
      </c>
      <c r="H162" s="14">
        <f>IFERROR(__xludf.DUMMYFUNCTION("""COMPUTED_VALUE"""),2.0)</f>
        <v>2</v>
      </c>
      <c r="I162" s="14">
        <f>IFERROR(__xludf.DUMMYFUNCTION("""COMPUTED_VALUE"""),13.4292)</f>
        <v>13.4292</v>
      </c>
      <c r="J162" s="3"/>
      <c r="K162" s="21"/>
      <c r="L162" s="21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>
      <c r="A163" s="12"/>
      <c r="B163" s="14" t="str">
        <f>IFERROR(__xludf.DUMMYFUNCTION("""COMPUTED_VALUE"""),"CA-2014-155887")</f>
        <v>CA-2014-155887</v>
      </c>
      <c r="C163" s="22">
        <f>IFERROR(__xludf.DUMMYFUNCTION("""COMPUTED_VALUE"""),41771.0)</f>
        <v>41771</v>
      </c>
      <c r="D163" s="14" t="str">
        <f>IFERROR(__xludf.DUMMYFUNCTION("""COMPUTED_VALUE"""),"Consumer")</f>
        <v>Consumer</v>
      </c>
      <c r="E163" s="14" t="str">
        <f>IFERROR(__xludf.DUMMYFUNCTION("""COMPUTED_VALUE"""),"Massachusetts")</f>
        <v>Massachusetts</v>
      </c>
      <c r="F163" s="14" t="str">
        <f>IFERROR(__xludf.DUMMYFUNCTION("""COMPUTED_VALUE"""),"East")</f>
        <v>East</v>
      </c>
      <c r="G163" s="14">
        <f>IFERROR(__xludf.DUMMYFUNCTION("""COMPUTED_VALUE"""),700.056)</f>
        <v>700.056</v>
      </c>
      <c r="H163" s="14">
        <f>IFERROR(__xludf.DUMMYFUNCTION("""COMPUTED_VALUE"""),3.0)</f>
        <v>3</v>
      </c>
      <c r="I163" s="14">
        <f>IFERROR(__xludf.DUMMYFUNCTION("""COMPUTED_VALUE"""),-130.0104)</f>
        <v>-130.0104</v>
      </c>
      <c r="J163" s="3"/>
      <c r="K163" s="21"/>
      <c r="L163" s="21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>
      <c r="A164" s="12"/>
      <c r="B164" s="14" t="str">
        <f>IFERROR(__xludf.DUMMYFUNCTION("""COMPUTED_VALUE"""),"US-2014-141257")</f>
        <v>US-2014-141257</v>
      </c>
      <c r="C164" s="22">
        <f>IFERROR(__xludf.DUMMYFUNCTION("""COMPUTED_VALUE"""),41798.0)</f>
        <v>41798</v>
      </c>
      <c r="D164" s="14" t="str">
        <f>IFERROR(__xludf.DUMMYFUNCTION("""COMPUTED_VALUE"""),"Consumer")</f>
        <v>Consumer</v>
      </c>
      <c r="E164" s="14" t="str">
        <f>IFERROR(__xludf.DUMMYFUNCTION("""COMPUTED_VALUE"""),"Washington")</f>
        <v>Washington</v>
      </c>
      <c r="F164" s="14" t="str">
        <f>IFERROR(__xludf.DUMMYFUNCTION("""COMPUTED_VALUE"""),"West")</f>
        <v>West</v>
      </c>
      <c r="G164" s="14">
        <f>IFERROR(__xludf.DUMMYFUNCTION("""COMPUTED_VALUE"""),585.552)</f>
        <v>585.552</v>
      </c>
      <c r="H164" s="14">
        <f>IFERROR(__xludf.DUMMYFUNCTION("""COMPUTED_VALUE"""),3.0)</f>
        <v>3</v>
      </c>
      <c r="I164" s="14">
        <f>IFERROR(__xludf.DUMMYFUNCTION("""COMPUTED_VALUE"""),73.194)</f>
        <v>73.194</v>
      </c>
      <c r="J164" s="3"/>
      <c r="K164" s="21"/>
      <c r="L164" s="21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>
      <c r="A165" s="12"/>
      <c r="B165" s="14" t="str">
        <f>IFERROR(__xludf.DUMMYFUNCTION("""COMPUTED_VALUE"""),"CA-2014-154669")</f>
        <v>CA-2014-154669</v>
      </c>
      <c r="C165" s="22">
        <f>IFERROR(__xludf.DUMMYFUNCTION("""COMPUTED_VALUE"""),41859.0)</f>
        <v>41859</v>
      </c>
      <c r="D165" s="14" t="str">
        <f>IFERROR(__xludf.DUMMYFUNCTION("""COMPUTED_VALUE"""),"Consumer")</f>
        <v>Consumer</v>
      </c>
      <c r="E165" s="14" t="str">
        <f>IFERROR(__xludf.DUMMYFUNCTION("""COMPUTED_VALUE"""),"California")</f>
        <v>California</v>
      </c>
      <c r="F165" s="14" t="str">
        <f>IFERROR(__xludf.DUMMYFUNCTION("""COMPUTED_VALUE"""),"West")</f>
        <v>West</v>
      </c>
      <c r="G165" s="14">
        <f>IFERROR(__xludf.DUMMYFUNCTION("""COMPUTED_VALUE"""),423.28)</f>
        <v>423.28</v>
      </c>
      <c r="H165" s="14">
        <f>IFERROR(__xludf.DUMMYFUNCTION("""COMPUTED_VALUE"""),11.0)</f>
        <v>11</v>
      </c>
      <c r="I165" s="14">
        <f>IFERROR(__xludf.DUMMYFUNCTION("""COMPUTED_VALUE"""),110.0528)</f>
        <v>110.0528</v>
      </c>
      <c r="J165" s="3"/>
      <c r="K165" s="21"/>
      <c r="L165" s="21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>
      <c r="A166" s="12"/>
      <c r="B166" s="14" t="str">
        <f>IFERROR(__xludf.DUMMYFUNCTION("""COMPUTED_VALUE"""),"CA-2014-158029")</f>
        <v>CA-2014-158029</v>
      </c>
      <c r="C166" s="22">
        <f>IFERROR(__xludf.DUMMYFUNCTION("""COMPUTED_VALUE"""),41785.0)</f>
        <v>41785</v>
      </c>
      <c r="D166" s="14" t="str">
        <f>IFERROR(__xludf.DUMMYFUNCTION("""COMPUTED_VALUE"""),"Consumer")</f>
        <v>Consumer</v>
      </c>
      <c r="E166" s="14" t="str">
        <f>IFERROR(__xludf.DUMMYFUNCTION("""COMPUTED_VALUE"""),"California")</f>
        <v>California</v>
      </c>
      <c r="F166" s="14" t="str">
        <f>IFERROR(__xludf.DUMMYFUNCTION("""COMPUTED_VALUE"""),"West")</f>
        <v>West</v>
      </c>
      <c r="G166" s="14">
        <f>IFERROR(__xludf.DUMMYFUNCTION("""COMPUTED_VALUE"""),225.296)</f>
        <v>225.296</v>
      </c>
      <c r="H166" s="14">
        <f>IFERROR(__xludf.DUMMYFUNCTION("""COMPUTED_VALUE"""),2.0)</f>
        <v>2</v>
      </c>
      <c r="I166" s="14">
        <f>IFERROR(__xludf.DUMMYFUNCTION("""COMPUTED_VALUE"""),22.5296)</f>
        <v>22.5296</v>
      </c>
      <c r="J166" s="3"/>
      <c r="K166" s="21"/>
      <c r="L166" s="21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>
      <c r="A167" s="12"/>
      <c r="B167" s="14" t="str">
        <f>IFERROR(__xludf.DUMMYFUNCTION("""COMPUTED_VALUE"""),"CA-2014-148915")</f>
        <v>CA-2014-148915</v>
      </c>
      <c r="C167" s="22">
        <f>IFERROR(__xludf.DUMMYFUNCTION("""COMPUTED_VALUE"""),41944.0)</f>
        <v>41944</v>
      </c>
      <c r="D167" s="14" t="str">
        <f>IFERROR(__xludf.DUMMYFUNCTION("""COMPUTED_VALUE"""),"Consumer")</f>
        <v>Consumer</v>
      </c>
      <c r="E167" s="14" t="str">
        <f>IFERROR(__xludf.DUMMYFUNCTION("""COMPUTED_VALUE"""),"Oregon")</f>
        <v>Oregon</v>
      </c>
      <c r="F167" s="14" t="str">
        <f>IFERROR(__xludf.DUMMYFUNCTION("""COMPUTED_VALUE"""),"West")</f>
        <v>West</v>
      </c>
      <c r="G167" s="14">
        <f>IFERROR(__xludf.DUMMYFUNCTION("""COMPUTED_VALUE"""),443.92)</f>
        <v>443.92</v>
      </c>
      <c r="H167" s="14">
        <f>IFERROR(__xludf.DUMMYFUNCTION("""COMPUTED_VALUE"""),5.0)</f>
        <v>5</v>
      </c>
      <c r="I167" s="14">
        <f>IFERROR(__xludf.DUMMYFUNCTION("""COMPUTED_VALUE"""),-94.333)</f>
        <v>-94.333</v>
      </c>
      <c r="J167" s="3"/>
      <c r="K167" s="21"/>
      <c r="L167" s="21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>
      <c r="A168" s="12"/>
      <c r="B168" s="14" t="str">
        <f>IFERROR(__xludf.DUMMYFUNCTION("""COMPUTED_VALUE"""),"CA-2014-165540")</f>
        <v>CA-2014-165540</v>
      </c>
      <c r="C168" s="22">
        <f>IFERROR(__xludf.DUMMYFUNCTION("""COMPUTED_VALUE"""),41691.0)</f>
        <v>41691</v>
      </c>
      <c r="D168" s="14" t="str">
        <f>IFERROR(__xludf.DUMMYFUNCTION("""COMPUTED_VALUE"""),"Consumer")</f>
        <v>Consumer</v>
      </c>
      <c r="E168" s="14" t="str">
        <f>IFERROR(__xludf.DUMMYFUNCTION("""COMPUTED_VALUE"""),"Illinois")</f>
        <v>Illinois</v>
      </c>
      <c r="F168" s="14" t="str">
        <f>IFERROR(__xludf.DUMMYFUNCTION("""COMPUTED_VALUE"""),"Central")</f>
        <v>Central</v>
      </c>
      <c r="G168" s="14">
        <f>IFERROR(__xludf.DUMMYFUNCTION("""COMPUTED_VALUE"""),8.85)</f>
        <v>8.85</v>
      </c>
      <c r="H168" s="14">
        <f>IFERROR(__xludf.DUMMYFUNCTION("""COMPUTED_VALUE"""),5.0)</f>
        <v>5</v>
      </c>
      <c r="I168" s="14">
        <f>IFERROR(__xludf.DUMMYFUNCTION("""COMPUTED_VALUE"""),-13.7175)</f>
        <v>-13.7175</v>
      </c>
      <c r="J168" s="3"/>
      <c r="K168" s="21"/>
      <c r="L168" s="21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>
      <c r="A169" s="12"/>
      <c r="B169" s="14" t="str">
        <f>IFERROR(__xludf.DUMMYFUNCTION("""COMPUTED_VALUE"""),"CA-2014-142727")</f>
        <v>CA-2014-142727</v>
      </c>
      <c r="C169" s="22">
        <f>IFERROR(__xludf.DUMMYFUNCTION("""COMPUTED_VALUE"""),41758.0)</f>
        <v>41758</v>
      </c>
      <c r="D169" s="14" t="str">
        <f>IFERROR(__xludf.DUMMYFUNCTION("""COMPUTED_VALUE"""),"Consumer")</f>
        <v>Consumer</v>
      </c>
      <c r="E169" s="14" t="str">
        <f>IFERROR(__xludf.DUMMYFUNCTION("""COMPUTED_VALUE"""),"Louisiana")</f>
        <v>Louisiana</v>
      </c>
      <c r="F169" s="14" t="str">
        <f>IFERROR(__xludf.DUMMYFUNCTION("""COMPUTED_VALUE"""),"South")</f>
        <v>South</v>
      </c>
      <c r="G169" s="14">
        <f>IFERROR(__xludf.DUMMYFUNCTION("""COMPUTED_VALUE"""),51.96)</f>
        <v>51.96</v>
      </c>
      <c r="H169" s="14">
        <f>IFERROR(__xludf.DUMMYFUNCTION("""COMPUTED_VALUE"""),2.0)</f>
        <v>2</v>
      </c>
      <c r="I169" s="14">
        <f>IFERROR(__xludf.DUMMYFUNCTION("""COMPUTED_VALUE"""),12.99)</f>
        <v>12.99</v>
      </c>
      <c r="J169" s="3"/>
      <c r="K169" s="21"/>
      <c r="L169" s="21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>
      <c r="A170" s="12"/>
      <c r="B170" s="14" t="str">
        <f>IFERROR(__xludf.DUMMYFUNCTION("""COMPUTED_VALUE"""),"CA-2014-169033")</f>
        <v>CA-2014-169033</v>
      </c>
      <c r="C170" s="22">
        <f>IFERROR(__xludf.DUMMYFUNCTION("""COMPUTED_VALUE"""),41728.0)</f>
        <v>41728</v>
      </c>
      <c r="D170" s="14" t="str">
        <f>IFERROR(__xludf.DUMMYFUNCTION("""COMPUTED_VALUE"""),"Consumer")</f>
        <v>Consumer</v>
      </c>
      <c r="E170" s="14" t="str">
        <f>IFERROR(__xludf.DUMMYFUNCTION("""COMPUTED_VALUE"""),"New York")</f>
        <v>New York</v>
      </c>
      <c r="F170" s="14" t="str">
        <f>IFERROR(__xludf.DUMMYFUNCTION("""COMPUTED_VALUE"""),"East")</f>
        <v>East</v>
      </c>
      <c r="G170" s="14">
        <f>IFERROR(__xludf.DUMMYFUNCTION("""COMPUTED_VALUE"""),49.65)</f>
        <v>49.65</v>
      </c>
      <c r="H170" s="14">
        <f>IFERROR(__xludf.DUMMYFUNCTION("""COMPUTED_VALUE"""),5.0)</f>
        <v>5</v>
      </c>
      <c r="I170" s="14">
        <f>IFERROR(__xludf.DUMMYFUNCTION("""COMPUTED_VALUE"""),20.853)</f>
        <v>20.853</v>
      </c>
      <c r="J170" s="3"/>
      <c r="K170" s="21"/>
      <c r="L170" s="21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>
      <c r="A171" s="12"/>
      <c r="B171" s="14" t="str">
        <f>IFERROR(__xludf.DUMMYFUNCTION("""COMPUTED_VALUE"""),"CA-2014-113929")</f>
        <v>CA-2014-113929</v>
      </c>
      <c r="C171" s="22">
        <f>IFERROR(__xludf.DUMMYFUNCTION("""COMPUTED_VALUE"""),41806.0)</f>
        <v>41806</v>
      </c>
      <c r="D171" s="14" t="str">
        <f>IFERROR(__xludf.DUMMYFUNCTION("""COMPUTED_VALUE"""),"Consumer")</f>
        <v>Consumer</v>
      </c>
      <c r="E171" s="14" t="str">
        <f>IFERROR(__xludf.DUMMYFUNCTION("""COMPUTED_VALUE"""),"New York")</f>
        <v>New York</v>
      </c>
      <c r="F171" s="14" t="str">
        <f>IFERROR(__xludf.DUMMYFUNCTION("""COMPUTED_VALUE"""),"East")</f>
        <v>East</v>
      </c>
      <c r="G171" s="14">
        <f>IFERROR(__xludf.DUMMYFUNCTION("""COMPUTED_VALUE"""),41.4)</f>
        <v>41.4</v>
      </c>
      <c r="H171" s="14">
        <f>IFERROR(__xludf.DUMMYFUNCTION("""COMPUTED_VALUE"""),5.0)</f>
        <v>5</v>
      </c>
      <c r="I171" s="14">
        <f>IFERROR(__xludf.DUMMYFUNCTION("""COMPUTED_VALUE"""),19.458)</f>
        <v>19.458</v>
      </c>
      <c r="J171" s="3"/>
      <c r="K171" s="21"/>
      <c r="L171" s="21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>
      <c r="A172" s="12"/>
      <c r="B172" s="14" t="str">
        <f>IFERROR(__xludf.DUMMYFUNCTION("""COMPUTED_VALUE"""),"CA-2014-157721")</f>
        <v>CA-2014-157721</v>
      </c>
      <c r="C172" s="22">
        <f>IFERROR(__xludf.DUMMYFUNCTION("""COMPUTED_VALUE"""),41884.0)</f>
        <v>41884</v>
      </c>
      <c r="D172" s="14" t="str">
        <f>IFERROR(__xludf.DUMMYFUNCTION("""COMPUTED_VALUE"""),"Consumer")</f>
        <v>Consumer</v>
      </c>
      <c r="E172" s="14" t="str">
        <f>IFERROR(__xludf.DUMMYFUNCTION("""COMPUTED_VALUE"""),"New York")</f>
        <v>New York</v>
      </c>
      <c r="F172" s="14" t="str">
        <f>IFERROR(__xludf.DUMMYFUNCTION("""COMPUTED_VALUE"""),"East")</f>
        <v>East</v>
      </c>
      <c r="G172" s="14">
        <f>IFERROR(__xludf.DUMMYFUNCTION("""COMPUTED_VALUE"""),19.9)</f>
        <v>19.9</v>
      </c>
      <c r="H172" s="14">
        <f>IFERROR(__xludf.DUMMYFUNCTION("""COMPUTED_VALUE"""),1.0)</f>
        <v>1</v>
      </c>
      <c r="I172" s="14">
        <f>IFERROR(__xludf.DUMMYFUNCTION("""COMPUTED_VALUE"""),8.955)</f>
        <v>8.955</v>
      </c>
      <c r="J172" s="3"/>
      <c r="K172" s="21"/>
      <c r="L172" s="21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>
      <c r="A173" s="12"/>
      <c r="B173" s="14" t="str">
        <f>IFERROR(__xludf.DUMMYFUNCTION("""COMPUTED_VALUE"""),"CA-2014-162866")</f>
        <v>CA-2014-162866</v>
      </c>
      <c r="C173" s="23">
        <f>IFERROR(__xludf.DUMMYFUNCTION("""COMPUTED_VALUE"""),42000.0)</f>
        <v>42000</v>
      </c>
      <c r="D173" s="14" t="str">
        <f>IFERROR(__xludf.DUMMYFUNCTION("""COMPUTED_VALUE"""),"Consumer")</f>
        <v>Consumer</v>
      </c>
      <c r="E173" s="14" t="str">
        <f>IFERROR(__xludf.DUMMYFUNCTION("""COMPUTED_VALUE"""),"Illinois")</f>
        <v>Illinois</v>
      </c>
      <c r="F173" s="14" t="str">
        <f>IFERROR(__xludf.DUMMYFUNCTION("""COMPUTED_VALUE"""),"Central")</f>
        <v>Central</v>
      </c>
      <c r="G173" s="14">
        <f>IFERROR(__xludf.DUMMYFUNCTION("""COMPUTED_VALUE"""),32.952)</f>
        <v>32.952</v>
      </c>
      <c r="H173" s="14">
        <f>IFERROR(__xludf.DUMMYFUNCTION("""COMPUTED_VALUE"""),6.0)</f>
        <v>6</v>
      </c>
      <c r="I173" s="14">
        <f>IFERROR(__xludf.DUMMYFUNCTION("""COMPUTED_VALUE"""),-19.7712)</f>
        <v>-19.7712</v>
      </c>
      <c r="J173" s="3"/>
      <c r="K173" s="21"/>
      <c r="L173" s="21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>
      <c r="A174" s="12"/>
      <c r="B174" s="14" t="str">
        <f>IFERROR(__xludf.DUMMYFUNCTION("""COMPUTED_VALUE"""),"CA-2014-109232")</f>
        <v>CA-2014-109232</v>
      </c>
      <c r="C174" s="22">
        <f>IFERROR(__xludf.DUMMYFUNCTION("""COMPUTED_VALUE"""),41652.0)</f>
        <v>41652</v>
      </c>
      <c r="D174" s="14" t="str">
        <f>IFERROR(__xludf.DUMMYFUNCTION("""COMPUTED_VALUE"""),"Consumer")</f>
        <v>Consumer</v>
      </c>
      <c r="E174" s="14" t="str">
        <f>IFERROR(__xludf.DUMMYFUNCTION("""COMPUTED_VALUE"""),"South Carolina")</f>
        <v>South Carolina</v>
      </c>
      <c r="F174" s="14" t="str">
        <f>IFERROR(__xludf.DUMMYFUNCTION("""COMPUTED_VALUE"""),"South")</f>
        <v>South</v>
      </c>
      <c r="G174" s="14">
        <f>IFERROR(__xludf.DUMMYFUNCTION("""COMPUTED_VALUE"""),545.94)</f>
        <v>545.94</v>
      </c>
      <c r="H174" s="14">
        <f>IFERROR(__xludf.DUMMYFUNCTION("""COMPUTED_VALUE"""),6.0)</f>
        <v>6</v>
      </c>
      <c r="I174" s="14">
        <f>IFERROR(__xludf.DUMMYFUNCTION("""COMPUTED_VALUE"""),87.3504)</f>
        <v>87.3504</v>
      </c>
      <c r="J174" s="3"/>
      <c r="K174" s="21"/>
      <c r="L174" s="21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>
      <c r="A175" s="12"/>
      <c r="B175" s="14" t="str">
        <f>IFERROR(__xludf.DUMMYFUNCTION("""COMPUTED_VALUE"""),"CA-2014-131310")</f>
        <v>CA-2014-131310</v>
      </c>
      <c r="C175" s="22">
        <f>IFERROR(__xludf.DUMMYFUNCTION("""COMPUTED_VALUE"""),41832.0)</f>
        <v>41832</v>
      </c>
      <c r="D175" s="14" t="str">
        <f>IFERROR(__xludf.DUMMYFUNCTION("""COMPUTED_VALUE"""),"Consumer")</f>
        <v>Consumer</v>
      </c>
      <c r="E175" s="14" t="str">
        <f>IFERROR(__xludf.DUMMYFUNCTION("""COMPUTED_VALUE"""),"Washington")</f>
        <v>Washington</v>
      </c>
      <c r="F175" s="14" t="str">
        <f>IFERROR(__xludf.DUMMYFUNCTION("""COMPUTED_VALUE"""),"West")</f>
        <v>West</v>
      </c>
      <c r="G175" s="14">
        <f>IFERROR(__xludf.DUMMYFUNCTION("""COMPUTED_VALUE"""),123.136)</f>
        <v>123.136</v>
      </c>
      <c r="H175" s="14">
        <f>IFERROR(__xludf.DUMMYFUNCTION("""COMPUTED_VALUE"""),4.0)</f>
        <v>4</v>
      </c>
      <c r="I175" s="14">
        <f>IFERROR(__xludf.DUMMYFUNCTION("""COMPUTED_VALUE"""),13.8528)</f>
        <v>13.8528</v>
      </c>
      <c r="J175" s="3"/>
      <c r="K175" s="21"/>
      <c r="L175" s="21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>
      <c r="A176" s="12"/>
      <c r="B176" s="14" t="str">
        <f>IFERROR(__xludf.DUMMYFUNCTION("""COMPUTED_VALUE"""),"US-2014-112872")</f>
        <v>US-2014-112872</v>
      </c>
      <c r="C176" s="22">
        <f>IFERROR(__xludf.DUMMYFUNCTION("""COMPUTED_VALUE"""),41979.0)</f>
        <v>41979</v>
      </c>
      <c r="D176" s="14" t="str">
        <f>IFERROR(__xludf.DUMMYFUNCTION("""COMPUTED_VALUE"""),"Consumer")</f>
        <v>Consumer</v>
      </c>
      <c r="E176" s="14" t="str">
        <f>IFERROR(__xludf.DUMMYFUNCTION("""COMPUTED_VALUE"""),"Oregon")</f>
        <v>Oregon</v>
      </c>
      <c r="F176" s="14" t="str">
        <f>IFERROR(__xludf.DUMMYFUNCTION("""COMPUTED_VALUE"""),"West")</f>
        <v>West</v>
      </c>
      <c r="G176" s="14">
        <f>IFERROR(__xludf.DUMMYFUNCTION("""COMPUTED_VALUE"""),53.424)</f>
        <v>53.424</v>
      </c>
      <c r="H176" s="14">
        <f>IFERROR(__xludf.DUMMYFUNCTION("""COMPUTED_VALUE"""),3.0)</f>
        <v>3</v>
      </c>
      <c r="I176" s="14">
        <f>IFERROR(__xludf.DUMMYFUNCTION("""COMPUTED_VALUE"""),4.6746)</f>
        <v>4.6746</v>
      </c>
      <c r="J176" s="3"/>
      <c r="K176" s="21"/>
      <c r="L176" s="21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>
      <c r="A177" s="12"/>
      <c r="B177" s="14" t="str">
        <f>IFERROR(__xludf.DUMMYFUNCTION("""COMPUTED_VALUE"""),"US-2014-150532")</f>
        <v>US-2014-150532</v>
      </c>
      <c r="C177" s="22">
        <f>IFERROR(__xludf.DUMMYFUNCTION("""COMPUTED_VALUE"""),41834.0)</f>
        <v>41834</v>
      </c>
      <c r="D177" s="14" t="str">
        <f>IFERROR(__xludf.DUMMYFUNCTION("""COMPUTED_VALUE"""),"Consumer")</f>
        <v>Consumer</v>
      </c>
      <c r="E177" s="14" t="str">
        <f>IFERROR(__xludf.DUMMYFUNCTION("""COMPUTED_VALUE"""),"Arizona")</f>
        <v>Arizona</v>
      </c>
      <c r="F177" s="14" t="str">
        <f>IFERROR(__xludf.DUMMYFUNCTION("""COMPUTED_VALUE"""),"West")</f>
        <v>West</v>
      </c>
      <c r="G177" s="14">
        <f>IFERROR(__xludf.DUMMYFUNCTION("""COMPUTED_VALUE"""),55.92)</f>
        <v>55.92</v>
      </c>
      <c r="H177" s="14">
        <f>IFERROR(__xludf.DUMMYFUNCTION("""COMPUTED_VALUE"""),5.0)</f>
        <v>5</v>
      </c>
      <c r="I177" s="14">
        <f>IFERROR(__xludf.DUMMYFUNCTION("""COMPUTED_VALUE"""),6.291)</f>
        <v>6.291</v>
      </c>
      <c r="J177" s="3"/>
      <c r="K177" s="21"/>
      <c r="L177" s="21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>
      <c r="A178" s="12"/>
      <c r="B178" s="14" t="str">
        <f>IFERROR(__xludf.DUMMYFUNCTION("""COMPUTED_VALUE"""),"CA-2014-138317")</f>
        <v>CA-2014-138317</v>
      </c>
      <c r="C178" s="22">
        <f>IFERROR(__xludf.DUMMYFUNCTION("""COMPUTED_VALUE"""),41811.0)</f>
        <v>41811</v>
      </c>
      <c r="D178" s="14" t="str">
        <f>IFERROR(__xludf.DUMMYFUNCTION("""COMPUTED_VALUE"""),"Consumer")</f>
        <v>Consumer</v>
      </c>
      <c r="E178" s="14" t="str">
        <f>IFERROR(__xludf.DUMMYFUNCTION("""COMPUTED_VALUE"""),"Pennsylvania")</f>
        <v>Pennsylvania</v>
      </c>
      <c r="F178" s="14" t="str">
        <f>IFERROR(__xludf.DUMMYFUNCTION("""COMPUTED_VALUE"""),"East")</f>
        <v>East</v>
      </c>
      <c r="G178" s="14">
        <f>IFERROR(__xludf.DUMMYFUNCTION("""COMPUTED_VALUE"""),24.896)</f>
        <v>24.896</v>
      </c>
      <c r="H178" s="14">
        <f>IFERROR(__xludf.DUMMYFUNCTION("""COMPUTED_VALUE"""),4.0)</f>
        <v>4</v>
      </c>
      <c r="I178" s="14">
        <f>IFERROR(__xludf.DUMMYFUNCTION("""COMPUTED_VALUE"""),8.4024)</f>
        <v>8.4024</v>
      </c>
      <c r="J178" s="3"/>
      <c r="K178" s="21"/>
      <c r="L178" s="21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>
      <c r="A179" s="12"/>
      <c r="B179" s="14" t="str">
        <f>IFERROR(__xludf.DUMMYFUNCTION("""COMPUTED_VALUE"""),"CA-2014-130729")</f>
        <v>CA-2014-130729</v>
      </c>
      <c r="C179" s="23">
        <f>IFERROR(__xludf.DUMMYFUNCTION("""COMPUTED_VALUE"""),41936.0)</f>
        <v>41936</v>
      </c>
      <c r="D179" s="14" t="str">
        <f>IFERROR(__xludf.DUMMYFUNCTION("""COMPUTED_VALUE"""),"Consumer")</f>
        <v>Consumer</v>
      </c>
      <c r="E179" s="14" t="str">
        <f>IFERROR(__xludf.DUMMYFUNCTION("""COMPUTED_VALUE"""),"California")</f>
        <v>California</v>
      </c>
      <c r="F179" s="14" t="str">
        <f>IFERROR(__xludf.DUMMYFUNCTION("""COMPUTED_VALUE"""),"West")</f>
        <v>West</v>
      </c>
      <c r="G179" s="14">
        <f>IFERROR(__xludf.DUMMYFUNCTION("""COMPUTED_VALUE"""),34.272)</f>
        <v>34.272</v>
      </c>
      <c r="H179" s="14">
        <f>IFERROR(__xludf.DUMMYFUNCTION("""COMPUTED_VALUE"""),3.0)</f>
        <v>3</v>
      </c>
      <c r="I179" s="14">
        <f>IFERROR(__xludf.DUMMYFUNCTION("""COMPUTED_VALUE"""),11.1384)</f>
        <v>11.1384</v>
      </c>
      <c r="J179" s="3"/>
      <c r="K179" s="21"/>
      <c r="L179" s="21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>
      <c r="A180" s="12"/>
      <c r="B180" s="14" t="str">
        <f>IFERROR(__xludf.DUMMYFUNCTION("""COMPUTED_VALUE"""),"CA-2014-137351")</f>
        <v>CA-2014-137351</v>
      </c>
      <c r="C180" s="22">
        <f>IFERROR(__xludf.DUMMYFUNCTION("""COMPUTED_VALUE"""),41912.0)</f>
        <v>41912</v>
      </c>
      <c r="D180" s="14" t="str">
        <f>IFERROR(__xludf.DUMMYFUNCTION("""COMPUTED_VALUE"""),"Consumer")</f>
        <v>Consumer</v>
      </c>
      <c r="E180" s="14" t="str">
        <f>IFERROR(__xludf.DUMMYFUNCTION("""COMPUTED_VALUE"""),"Washington")</f>
        <v>Washington</v>
      </c>
      <c r="F180" s="14" t="str">
        <f>IFERROR(__xludf.DUMMYFUNCTION("""COMPUTED_VALUE"""),"West")</f>
        <v>West</v>
      </c>
      <c r="G180" s="14">
        <f>IFERROR(__xludf.DUMMYFUNCTION("""COMPUTED_VALUE"""),43.176)</f>
        <v>43.176</v>
      </c>
      <c r="H180" s="14">
        <f>IFERROR(__xludf.DUMMYFUNCTION("""COMPUTED_VALUE"""),7.0)</f>
        <v>7</v>
      </c>
      <c r="I180" s="14">
        <f>IFERROR(__xludf.DUMMYFUNCTION("""COMPUTED_VALUE"""),13.4925)</f>
        <v>13.4925</v>
      </c>
      <c r="J180" s="3"/>
      <c r="K180" s="21"/>
      <c r="L180" s="21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>
      <c r="A181" s="12"/>
      <c r="B181" s="14" t="str">
        <f>IFERROR(__xludf.DUMMYFUNCTION("""COMPUTED_VALUE"""),"CA-2014-100328")</f>
        <v>CA-2014-100328</v>
      </c>
      <c r="C181" s="22">
        <f>IFERROR(__xludf.DUMMYFUNCTION("""COMPUTED_VALUE"""),41667.0)</f>
        <v>41667</v>
      </c>
      <c r="D181" s="14" t="str">
        <f>IFERROR(__xludf.DUMMYFUNCTION("""COMPUTED_VALUE"""),"Consumer")</f>
        <v>Consumer</v>
      </c>
      <c r="E181" s="14" t="str">
        <f>IFERROR(__xludf.DUMMYFUNCTION("""COMPUTED_VALUE"""),"New York")</f>
        <v>New York</v>
      </c>
      <c r="F181" s="14" t="str">
        <f>IFERROR(__xludf.DUMMYFUNCTION("""COMPUTED_VALUE"""),"East")</f>
        <v>East</v>
      </c>
      <c r="G181" s="14">
        <f>IFERROR(__xludf.DUMMYFUNCTION("""COMPUTED_VALUE"""),3.928)</f>
        <v>3.928</v>
      </c>
      <c r="H181" s="14">
        <f>IFERROR(__xludf.DUMMYFUNCTION("""COMPUTED_VALUE"""),1.0)</f>
        <v>1</v>
      </c>
      <c r="I181" s="14">
        <f>IFERROR(__xludf.DUMMYFUNCTION("""COMPUTED_VALUE"""),1.3257)</f>
        <v>1.3257</v>
      </c>
      <c r="J181" s="3"/>
      <c r="K181" s="21"/>
      <c r="L181" s="21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>
      <c r="A182" s="12"/>
      <c r="B182" s="14" t="str">
        <f>IFERROR(__xludf.DUMMYFUNCTION("""COMPUTED_VALUE"""),"US-2014-109036")</f>
        <v>US-2014-109036</v>
      </c>
      <c r="C182" s="23">
        <f>IFERROR(__xludf.DUMMYFUNCTION("""COMPUTED_VALUE"""),41993.0)</f>
        <v>41993</v>
      </c>
      <c r="D182" s="14" t="str">
        <f>IFERROR(__xludf.DUMMYFUNCTION("""COMPUTED_VALUE"""),"Consumer")</f>
        <v>Consumer</v>
      </c>
      <c r="E182" s="14" t="str">
        <f>IFERROR(__xludf.DUMMYFUNCTION("""COMPUTED_VALUE"""),"Washington")</f>
        <v>Washington</v>
      </c>
      <c r="F182" s="14" t="str">
        <f>IFERROR(__xludf.DUMMYFUNCTION("""COMPUTED_VALUE"""),"West")</f>
        <v>West</v>
      </c>
      <c r="G182" s="14">
        <f>IFERROR(__xludf.DUMMYFUNCTION("""COMPUTED_VALUE"""),31.05)</f>
        <v>31.05</v>
      </c>
      <c r="H182" s="14">
        <f>IFERROR(__xludf.DUMMYFUNCTION("""COMPUTED_VALUE"""),3.0)</f>
        <v>3</v>
      </c>
      <c r="I182" s="14">
        <f>IFERROR(__xludf.DUMMYFUNCTION("""COMPUTED_VALUE"""),14.904)</f>
        <v>14.904</v>
      </c>
      <c r="J182" s="3"/>
      <c r="K182" s="21"/>
      <c r="L182" s="21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>
      <c r="A183" s="12"/>
      <c r="B183" s="14" t="str">
        <f>IFERROR(__xludf.DUMMYFUNCTION("""COMPUTED_VALUE"""),"US-2014-150924")</f>
        <v>US-2014-150924</v>
      </c>
      <c r="C183" s="22">
        <f>IFERROR(__xludf.DUMMYFUNCTION("""COMPUTED_VALUE"""),41894.0)</f>
        <v>41894</v>
      </c>
      <c r="D183" s="14" t="str">
        <f>IFERROR(__xludf.DUMMYFUNCTION("""COMPUTED_VALUE"""),"Consumer")</f>
        <v>Consumer</v>
      </c>
      <c r="E183" s="14" t="str">
        <f>IFERROR(__xludf.DUMMYFUNCTION("""COMPUTED_VALUE"""),"Texas")</f>
        <v>Texas</v>
      </c>
      <c r="F183" s="14" t="str">
        <f>IFERROR(__xludf.DUMMYFUNCTION("""COMPUTED_VALUE"""),"Central")</f>
        <v>Central</v>
      </c>
      <c r="G183" s="14">
        <f>IFERROR(__xludf.DUMMYFUNCTION("""COMPUTED_VALUE"""),5.18)</f>
        <v>5.18</v>
      </c>
      <c r="H183" s="14">
        <f>IFERROR(__xludf.DUMMYFUNCTION("""COMPUTED_VALUE"""),5.0)</f>
        <v>5</v>
      </c>
      <c r="I183" s="14">
        <f>IFERROR(__xludf.DUMMYFUNCTION("""COMPUTED_VALUE"""),-8.029)</f>
        <v>-8.029</v>
      </c>
      <c r="J183" s="3"/>
      <c r="K183" s="21"/>
      <c r="L183" s="21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>
      <c r="A184" s="12"/>
      <c r="B184" s="14" t="str">
        <f>IFERROR(__xludf.DUMMYFUNCTION("""COMPUTED_VALUE"""),"CA-2014-153969")</f>
        <v>CA-2014-153969</v>
      </c>
      <c r="C184" s="22">
        <f>IFERROR(__xludf.DUMMYFUNCTION("""COMPUTED_VALUE"""),41903.0)</f>
        <v>41903</v>
      </c>
      <c r="D184" s="14" t="str">
        <f>IFERROR(__xludf.DUMMYFUNCTION("""COMPUTED_VALUE"""),"Consumer")</f>
        <v>Consumer</v>
      </c>
      <c r="E184" s="14" t="str">
        <f>IFERROR(__xludf.DUMMYFUNCTION("""COMPUTED_VALUE"""),"California")</f>
        <v>California</v>
      </c>
      <c r="F184" s="14" t="str">
        <f>IFERROR(__xludf.DUMMYFUNCTION("""COMPUTED_VALUE"""),"West")</f>
        <v>West</v>
      </c>
      <c r="G184" s="14">
        <f>IFERROR(__xludf.DUMMYFUNCTION("""COMPUTED_VALUE"""),15.56)</f>
        <v>15.56</v>
      </c>
      <c r="H184" s="14">
        <f>IFERROR(__xludf.DUMMYFUNCTION("""COMPUTED_VALUE"""),2.0)</f>
        <v>2</v>
      </c>
      <c r="I184" s="14">
        <f>IFERROR(__xludf.DUMMYFUNCTION("""COMPUTED_VALUE"""),7.3132)</f>
        <v>7.3132</v>
      </c>
      <c r="J184" s="3"/>
      <c r="K184" s="21"/>
      <c r="L184" s="21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>
      <c r="A185" s="12"/>
      <c r="B185" s="14" t="str">
        <f>IFERROR(__xludf.DUMMYFUNCTION("""COMPUTED_VALUE"""),"CA-2014-165428")</f>
        <v>CA-2014-165428</v>
      </c>
      <c r="C185" s="22">
        <f>IFERROR(__xludf.DUMMYFUNCTION("""COMPUTED_VALUE"""),41883.0)</f>
        <v>41883</v>
      </c>
      <c r="D185" s="14" t="str">
        <f>IFERROR(__xludf.DUMMYFUNCTION("""COMPUTED_VALUE"""),"Consumer")</f>
        <v>Consumer</v>
      </c>
      <c r="E185" s="14" t="str">
        <f>IFERROR(__xludf.DUMMYFUNCTION("""COMPUTED_VALUE"""),"Texas")</f>
        <v>Texas</v>
      </c>
      <c r="F185" s="14" t="str">
        <f>IFERROR(__xludf.DUMMYFUNCTION("""COMPUTED_VALUE"""),"Central")</f>
        <v>Central</v>
      </c>
      <c r="G185" s="14">
        <f>IFERROR(__xludf.DUMMYFUNCTION("""COMPUTED_VALUE"""),3.648)</f>
        <v>3.648</v>
      </c>
      <c r="H185" s="14">
        <f>IFERROR(__xludf.DUMMYFUNCTION("""COMPUTED_VALUE"""),3.0)</f>
        <v>3</v>
      </c>
      <c r="I185" s="14">
        <f>IFERROR(__xludf.DUMMYFUNCTION("""COMPUTED_VALUE"""),-6.0192)</f>
        <v>-6.0192</v>
      </c>
      <c r="J185" s="3"/>
      <c r="K185" s="21"/>
      <c r="L185" s="21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>
      <c r="A186" s="12"/>
      <c r="B186" s="14" t="str">
        <f>IFERROR(__xludf.DUMMYFUNCTION("""COMPUTED_VALUE"""),"CA-2014-131527")</f>
        <v>CA-2014-131527</v>
      </c>
      <c r="C186" s="22">
        <f>IFERROR(__xludf.DUMMYFUNCTION("""COMPUTED_VALUE"""),41974.0)</f>
        <v>41974</v>
      </c>
      <c r="D186" s="14" t="str">
        <f>IFERROR(__xludf.DUMMYFUNCTION("""COMPUTED_VALUE"""),"Consumer")</f>
        <v>Consumer</v>
      </c>
      <c r="E186" s="14" t="str">
        <f>IFERROR(__xludf.DUMMYFUNCTION("""COMPUTED_VALUE"""),"North Carolina")</f>
        <v>North Carolina</v>
      </c>
      <c r="F186" s="14" t="str">
        <f>IFERROR(__xludf.DUMMYFUNCTION("""COMPUTED_VALUE"""),"South")</f>
        <v>South</v>
      </c>
      <c r="G186" s="14">
        <f>IFERROR(__xludf.DUMMYFUNCTION("""COMPUTED_VALUE"""),95.968)</f>
        <v>95.968</v>
      </c>
      <c r="H186" s="14">
        <f>IFERROR(__xludf.DUMMYFUNCTION("""COMPUTED_VALUE"""),4.0)</f>
        <v>4</v>
      </c>
      <c r="I186" s="14">
        <f>IFERROR(__xludf.DUMMYFUNCTION("""COMPUTED_VALUE"""),9.5968)</f>
        <v>9.5968</v>
      </c>
      <c r="J186" s="3"/>
      <c r="K186" s="21"/>
      <c r="L186" s="21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>
      <c r="A187" s="12"/>
      <c r="B187" s="14" t="str">
        <f>IFERROR(__xludf.DUMMYFUNCTION("""COMPUTED_VALUE"""),"CA-2014-164224")</f>
        <v>CA-2014-164224</v>
      </c>
      <c r="C187" s="22">
        <f>IFERROR(__xludf.DUMMYFUNCTION("""COMPUTED_VALUE"""),41777.0)</f>
        <v>41777</v>
      </c>
      <c r="D187" s="14" t="str">
        <f>IFERROR(__xludf.DUMMYFUNCTION("""COMPUTED_VALUE"""),"Consumer")</f>
        <v>Consumer</v>
      </c>
      <c r="E187" s="14" t="str">
        <f>IFERROR(__xludf.DUMMYFUNCTION("""COMPUTED_VALUE"""),"Ohio")</f>
        <v>Ohio</v>
      </c>
      <c r="F187" s="14" t="str">
        <f>IFERROR(__xludf.DUMMYFUNCTION("""COMPUTED_VALUE"""),"East")</f>
        <v>East</v>
      </c>
      <c r="G187" s="14">
        <f>IFERROR(__xludf.DUMMYFUNCTION("""COMPUTED_VALUE"""),149.232)</f>
        <v>149.232</v>
      </c>
      <c r="H187" s="14">
        <f>IFERROR(__xludf.DUMMYFUNCTION("""COMPUTED_VALUE"""),3.0)</f>
        <v>3</v>
      </c>
      <c r="I187" s="14">
        <f>IFERROR(__xludf.DUMMYFUNCTION("""COMPUTED_VALUE"""),3.7308)</f>
        <v>3.7308</v>
      </c>
      <c r="J187" s="3"/>
      <c r="K187" s="21"/>
      <c r="L187" s="21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>
      <c r="A188" s="12"/>
      <c r="B188" s="14" t="str">
        <f>IFERROR(__xludf.DUMMYFUNCTION("""COMPUTED_VALUE"""),"CA-2014-158372")</f>
        <v>CA-2014-158372</v>
      </c>
      <c r="C188" s="23">
        <f>IFERROR(__xludf.DUMMYFUNCTION("""COMPUTED_VALUE"""),41953.0)</f>
        <v>41953</v>
      </c>
      <c r="D188" s="14" t="str">
        <f>IFERROR(__xludf.DUMMYFUNCTION("""COMPUTED_VALUE"""),"Consumer")</f>
        <v>Consumer</v>
      </c>
      <c r="E188" s="14" t="str">
        <f>IFERROR(__xludf.DUMMYFUNCTION("""COMPUTED_VALUE"""),"California")</f>
        <v>California</v>
      </c>
      <c r="F188" s="14" t="str">
        <f>IFERROR(__xludf.DUMMYFUNCTION("""COMPUTED_VALUE"""),"West")</f>
        <v>West</v>
      </c>
      <c r="G188" s="14">
        <f>IFERROR(__xludf.DUMMYFUNCTION("""COMPUTED_VALUE"""),601.536)</f>
        <v>601.536</v>
      </c>
      <c r="H188" s="14">
        <f>IFERROR(__xludf.DUMMYFUNCTION("""COMPUTED_VALUE"""),8.0)</f>
        <v>8</v>
      </c>
      <c r="I188" s="14">
        <f>IFERROR(__xludf.DUMMYFUNCTION("""COMPUTED_VALUE"""),60.1536)</f>
        <v>60.1536</v>
      </c>
      <c r="J188" s="3"/>
      <c r="K188" s="21"/>
      <c r="L188" s="21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>
      <c r="A189" s="12"/>
      <c r="B189" s="14" t="str">
        <f>IFERROR(__xludf.DUMMYFUNCTION("""COMPUTED_VALUE"""),"CA-2014-142314")</f>
        <v>CA-2014-142314</v>
      </c>
      <c r="C189" s="23">
        <f>IFERROR(__xludf.DUMMYFUNCTION("""COMPUTED_VALUE"""),41996.0)</f>
        <v>41996</v>
      </c>
      <c r="D189" s="14" t="str">
        <f>IFERROR(__xludf.DUMMYFUNCTION("""COMPUTED_VALUE"""),"Consumer")</f>
        <v>Consumer</v>
      </c>
      <c r="E189" s="14" t="str">
        <f>IFERROR(__xludf.DUMMYFUNCTION("""COMPUTED_VALUE"""),"Indiana")</f>
        <v>Indiana</v>
      </c>
      <c r="F189" s="14" t="str">
        <f>IFERROR(__xludf.DUMMYFUNCTION("""COMPUTED_VALUE"""),"Central")</f>
        <v>Central</v>
      </c>
      <c r="G189" s="14">
        <f>IFERROR(__xludf.DUMMYFUNCTION("""COMPUTED_VALUE"""),207.24)</f>
        <v>207.24</v>
      </c>
      <c r="H189" s="14">
        <f>IFERROR(__xludf.DUMMYFUNCTION("""COMPUTED_VALUE"""),11.0)</f>
        <v>11</v>
      </c>
      <c r="I189" s="14">
        <f>IFERROR(__xludf.DUMMYFUNCTION("""COMPUTED_VALUE"""),58.0272)</f>
        <v>58.0272</v>
      </c>
      <c r="J189" s="3"/>
      <c r="K189" s="21"/>
      <c r="L189" s="21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>
      <c r="A190" s="12"/>
      <c r="B190" s="14" t="str">
        <f>IFERROR(__xludf.DUMMYFUNCTION("""COMPUTED_VALUE"""),"CA-2014-114433")</f>
        <v>CA-2014-114433</v>
      </c>
      <c r="C190" s="22">
        <f>IFERROR(__xludf.DUMMYFUNCTION("""COMPUTED_VALUE"""),41772.0)</f>
        <v>41772</v>
      </c>
      <c r="D190" s="14" t="str">
        <f>IFERROR(__xludf.DUMMYFUNCTION("""COMPUTED_VALUE"""),"Consumer")</f>
        <v>Consumer</v>
      </c>
      <c r="E190" s="14" t="str">
        <f>IFERROR(__xludf.DUMMYFUNCTION("""COMPUTED_VALUE"""),"California")</f>
        <v>California</v>
      </c>
      <c r="F190" s="14" t="str">
        <f>IFERROR(__xludf.DUMMYFUNCTION("""COMPUTED_VALUE"""),"West")</f>
        <v>West</v>
      </c>
      <c r="G190" s="14">
        <f>IFERROR(__xludf.DUMMYFUNCTION("""COMPUTED_VALUE"""),149.97)</f>
        <v>149.97</v>
      </c>
      <c r="H190" s="14">
        <f>IFERROR(__xludf.DUMMYFUNCTION("""COMPUTED_VALUE"""),3.0)</f>
        <v>3</v>
      </c>
      <c r="I190" s="14">
        <f>IFERROR(__xludf.DUMMYFUNCTION("""COMPUTED_VALUE"""),52.4895)</f>
        <v>52.4895</v>
      </c>
      <c r="J190" s="3"/>
      <c r="K190" s="21"/>
      <c r="L190" s="21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>
      <c r="A191" s="12"/>
      <c r="B191" s="14" t="str">
        <f>IFERROR(__xludf.DUMMYFUNCTION("""COMPUTED_VALUE"""),"CA-2014-154641")</f>
        <v>CA-2014-154641</v>
      </c>
      <c r="C191" s="22">
        <f>IFERROR(__xludf.DUMMYFUNCTION("""COMPUTED_VALUE"""),41862.0)</f>
        <v>41862</v>
      </c>
      <c r="D191" s="14" t="str">
        <f>IFERROR(__xludf.DUMMYFUNCTION("""COMPUTED_VALUE"""),"Consumer")</f>
        <v>Consumer</v>
      </c>
      <c r="E191" s="14" t="str">
        <f>IFERROR(__xludf.DUMMYFUNCTION("""COMPUTED_VALUE"""),"New York")</f>
        <v>New York</v>
      </c>
      <c r="F191" s="14" t="str">
        <f>IFERROR(__xludf.DUMMYFUNCTION("""COMPUTED_VALUE"""),"East")</f>
        <v>East</v>
      </c>
      <c r="G191" s="14">
        <f>IFERROR(__xludf.DUMMYFUNCTION("""COMPUTED_VALUE"""),375.34)</f>
        <v>375.34</v>
      </c>
      <c r="H191" s="14">
        <f>IFERROR(__xludf.DUMMYFUNCTION("""COMPUTED_VALUE"""),1.0)</f>
        <v>1</v>
      </c>
      <c r="I191" s="14">
        <f>IFERROR(__xludf.DUMMYFUNCTION("""COMPUTED_VALUE"""),18.767)</f>
        <v>18.767</v>
      </c>
      <c r="J191" s="3"/>
      <c r="K191" s="21"/>
      <c r="L191" s="21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>
      <c r="A192" s="12"/>
      <c r="B192" s="14" t="str">
        <f>IFERROR(__xludf.DUMMYFUNCTION("""COMPUTED_VALUE"""),"US-2014-126571")</f>
        <v>US-2014-126571</v>
      </c>
      <c r="C192" s="23">
        <f>IFERROR(__xludf.DUMMYFUNCTION("""COMPUTED_VALUE"""),41923.0)</f>
        <v>41923</v>
      </c>
      <c r="D192" s="14" t="str">
        <f>IFERROR(__xludf.DUMMYFUNCTION("""COMPUTED_VALUE"""),"Consumer")</f>
        <v>Consumer</v>
      </c>
      <c r="E192" s="14" t="str">
        <f>IFERROR(__xludf.DUMMYFUNCTION("""COMPUTED_VALUE"""),"Pennsylvania")</f>
        <v>Pennsylvania</v>
      </c>
      <c r="F192" s="14" t="str">
        <f>IFERROR(__xludf.DUMMYFUNCTION("""COMPUTED_VALUE"""),"East")</f>
        <v>East</v>
      </c>
      <c r="G192" s="14">
        <f>IFERROR(__xludf.DUMMYFUNCTION("""COMPUTED_VALUE"""),281.904)</f>
        <v>281.904</v>
      </c>
      <c r="H192" s="14">
        <f>IFERROR(__xludf.DUMMYFUNCTION("""COMPUTED_VALUE"""),2.0)</f>
        <v>2</v>
      </c>
      <c r="I192" s="14">
        <f>IFERROR(__xludf.DUMMYFUNCTION("""COMPUTED_VALUE"""),10.5714)</f>
        <v>10.5714</v>
      </c>
      <c r="J192" s="3"/>
      <c r="K192" s="21"/>
      <c r="L192" s="21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>
      <c r="A193" s="12"/>
      <c r="B193" s="14" t="str">
        <f>IFERROR(__xludf.DUMMYFUNCTION("""COMPUTED_VALUE"""),"CA-2014-143840")</f>
        <v>CA-2014-143840</v>
      </c>
      <c r="C193" s="22">
        <f>IFERROR(__xludf.DUMMYFUNCTION("""COMPUTED_VALUE"""),41781.0)</f>
        <v>41781</v>
      </c>
      <c r="D193" s="14" t="str">
        <f>IFERROR(__xludf.DUMMYFUNCTION("""COMPUTED_VALUE"""),"Consumer")</f>
        <v>Consumer</v>
      </c>
      <c r="E193" s="14" t="str">
        <f>IFERROR(__xludf.DUMMYFUNCTION("""COMPUTED_VALUE"""),"Alabama")</f>
        <v>Alabama</v>
      </c>
      <c r="F193" s="14" t="str">
        <f>IFERROR(__xludf.DUMMYFUNCTION("""COMPUTED_VALUE"""),"South")</f>
        <v>South</v>
      </c>
      <c r="G193" s="14">
        <f>IFERROR(__xludf.DUMMYFUNCTION("""COMPUTED_VALUE"""),135.98)</f>
        <v>135.98</v>
      </c>
      <c r="H193" s="14">
        <f>IFERROR(__xludf.DUMMYFUNCTION("""COMPUTED_VALUE"""),2.0)</f>
        <v>2</v>
      </c>
      <c r="I193" s="14">
        <f>IFERROR(__xludf.DUMMYFUNCTION("""COMPUTED_VALUE"""),33.995)</f>
        <v>33.995</v>
      </c>
      <c r="J193" s="3"/>
      <c r="K193" s="21"/>
      <c r="L193" s="21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>
      <c r="A194" s="12"/>
      <c r="B194" s="14" t="str">
        <f>IFERROR(__xludf.DUMMYFUNCTION("""COMPUTED_VALUE"""),"US-2014-117170")</f>
        <v>US-2014-117170</v>
      </c>
      <c r="C194" s="22">
        <f>IFERROR(__xludf.DUMMYFUNCTION("""COMPUTED_VALUE"""),41899.0)</f>
        <v>41899</v>
      </c>
      <c r="D194" s="14" t="str">
        <f>IFERROR(__xludf.DUMMYFUNCTION("""COMPUTED_VALUE"""),"Consumer")</f>
        <v>Consumer</v>
      </c>
      <c r="E194" s="14" t="str">
        <f>IFERROR(__xludf.DUMMYFUNCTION("""COMPUTED_VALUE"""),"North Carolina")</f>
        <v>North Carolina</v>
      </c>
      <c r="F194" s="14" t="str">
        <f>IFERROR(__xludf.DUMMYFUNCTION("""COMPUTED_VALUE"""),"South")</f>
        <v>South</v>
      </c>
      <c r="G194" s="14">
        <f>IFERROR(__xludf.DUMMYFUNCTION("""COMPUTED_VALUE"""),47.984)</f>
        <v>47.984</v>
      </c>
      <c r="H194" s="14">
        <f>IFERROR(__xludf.DUMMYFUNCTION("""COMPUTED_VALUE"""),2.0)</f>
        <v>2</v>
      </c>
      <c r="I194" s="14">
        <f>IFERROR(__xludf.DUMMYFUNCTION("""COMPUTED_VALUE"""),13.1956)</f>
        <v>13.1956</v>
      </c>
      <c r="J194" s="3"/>
      <c r="K194" s="21"/>
      <c r="L194" s="21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>
      <c r="A195" s="12"/>
      <c r="B195" s="14" t="str">
        <f>IFERROR(__xludf.DUMMYFUNCTION("""COMPUTED_VALUE"""),"CA-2014-103702")</f>
        <v>CA-2014-103702</v>
      </c>
      <c r="C195" s="22">
        <f>IFERROR(__xludf.DUMMYFUNCTION("""COMPUTED_VALUE"""),41894.0)</f>
        <v>41894</v>
      </c>
      <c r="D195" s="14" t="str">
        <f>IFERROR(__xludf.DUMMYFUNCTION("""COMPUTED_VALUE"""),"Consumer")</f>
        <v>Consumer</v>
      </c>
      <c r="E195" s="14" t="str">
        <f>IFERROR(__xludf.DUMMYFUNCTION("""COMPUTED_VALUE"""),"Ohio")</f>
        <v>Ohio</v>
      </c>
      <c r="F195" s="14" t="str">
        <f>IFERROR(__xludf.DUMMYFUNCTION("""COMPUTED_VALUE"""),"East")</f>
        <v>East</v>
      </c>
      <c r="G195" s="14">
        <f>IFERROR(__xludf.DUMMYFUNCTION("""COMPUTED_VALUE"""),63.924)</f>
        <v>63.924</v>
      </c>
      <c r="H195" s="14">
        <f>IFERROR(__xludf.DUMMYFUNCTION("""COMPUTED_VALUE"""),7.0)</f>
        <v>7</v>
      </c>
      <c r="I195" s="14">
        <f>IFERROR(__xludf.DUMMYFUNCTION("""COMPUTED_VALUE"""),-46.8776)</f>
        <v>-46.8776</v>
      </c>
      <c r="J195" s="3"/>
      <c r="K195" s="21"/>
      <c r="L195" s="21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>
      <c r="A196" s="12"/>
      <c r="B196" s="14" t="str">
        <f>IFERROR(__xludf.DUMMYFUNCTION("""COMPUTED_VALUE"""),"CA-2014-106264")</f>
        <v>CA-2014-106264</v>
      </c>
      <c r="C196" s="23">
        <f>IFERROR(__xludf.DUMMYFUNCTION("""COMPUTED_VALUE"""),41999.0)</f>
        <v>41999</v>
      </c>
      <c r="D196" s="14" t="str">
        <f>IFERROR(__xludf.DUMMYFUNCTION("""COMPUTED_VALUE"""),"Consumer")</f>
        <v>Consumer</v>
      </c>
      <c r="E196" s="14" t="str">
        <f>IFERROR(__xludf.DUMMYFUNCTION("""COMPUTED_VALUE"""),"California")</f>
        <v>California</v>
      </c>
      <c r="F196" s="14" t="str">
        <f>IFERROR(__xludf.DUMMYFUNCTION("""COMPUTED_VALUE"""),"West")</f>
        <v>West</v>
      </c>
      <c r="G196" s="14">
        <f>IFERROR(__xludf.DUMMYFUNCTION("""COMPUTED_VALUE"""),11.91)</f>
        <v>11.91</v>
      </c>
      <c r="H196" s="14">
        <f>IFERROR(__xludf.DUMMYFUNCTION("""COMPUTED_VALUE"""),3.0)</f>
        <v>3</v>
      </c>
      <c r="I196" s="14">
        <f>IFERROR(__xludf.DUMMYFUNCTION("""COMPUTED_VALUE"""),0.1191)</f>
        <v>0.1191</v>
      </c>
      <c r="J196" s="3"/>
      <c r="K196" s="21"/>
      <c r="L196" s="21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>
      <c r="A197" s="12"/>
      <c r="B197" s="14" t="str">
        <f>IFERROR(__xludf.DUMMYFUNCTION("""COMPUTED_VALUE"""),"CA-2014-138023")</f>
        <v>CA-2014-138023</v>
      </c>
      <c r="C197" s="22">
        <f>IFERROR(__xludf.DUMMYFUNCTION("""COMPUTED_VALUE"""),41866.0)</f>
        <v>41866</v>
      </c>
      <c r="D197" s="14" t="str">
        <f>IFERROR(__xludf.DUMMYFUNCTION("""COMPUTED_VALUE"""),"Consumer")</f>
        <v>Consumer</v>
      </c>
      <c r="E197" s="14" t="str">
        <f>IFERROR(__xludf.DUMMYFUNCTION("""COMPUTED_VALUE"""),"Texas")</f>
        <v>Texas</v>
      </c>
      <c r="F197" s="14" t="str">
        <f>IFERROR(__xludf.DUMMYFUNCTION("""COMPUTED_VALUE"""),"Central")</f>
        <v>Central</v>
      </c>
      <c r="G197" s="14">
        <f>IFERROR(__xludf.DUMMYFUNCTION("""COMPUTED_VALUE"""),30.96)</f>
        <v>30.96</v>
      </c>
      <c r="H197" s="14">
        <f>IFERROR(__xludf.DUMMYFUNCTION("""COMPUTED_VALUE"""),8.0)</f>
        <v>8</v>
      </c>
      <c r="I197" s="14">
        <f>IFERROR(__xludf.DUMMYFUNCTION("""COMPUTED_VALUE"""),-52.632)</f>
        <v>-52.632</v>
      </c>
      <c r="J197" s="3"/>
      <c r="K197" s="21"/>
      <c r="L197" s="21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>
      <c r="A198" s="12"/>
      <c r="B198" s="14" t="str">
        <f>IFERROR(__xludf.DUMMYFUNCTION("""COMPUTED_VALUE"""),"US-2014-159926")</f>
        <v>US-2014-159926</v>
      </c>
      <c r="C198" s="23">
        <f>IFERROR(__xludf.DUMMYFUNCTION("""COMPUTED_VALUE"""),41961.0)</f>
        <v>41961</v>
      </c>
      <c r="D198" s="14" t="str">
        <f>IFERROR(__xludf.DUMMYFUNCTION("""COMPUTED_VALUE"""),"Consumer")</f>
        <v>Consumer</v>
      </c>
      <c r="E198" s="14" t="str">
        <f>IFERROR(__xludf.DUMMYFUNCTION("""COMPUTED_VALUE"""),"Pennsylvania")</f>
        <v>Pennsylvania</v>
      </c>
      <c r="F198" s="14" t="str">
        <f>IFERROR(__xludf.DUMMYFUNCTION("""COMPUTED_VALUE"""),"East")</f>
        <v>East</v>
      </c>
      <c r="G198" s="14">
        <f>IFERROR(__xludf.DUMMYFUNCTION("""COMPUTED_VALUE"""),50.997)</f>
        <v>50.997</v>
      </c>
      <c r="H198" s="14">
        <f>IFERROR(__xludf.DUMMYFUNCTION("""COMPUTED_VALUE"""),1.0)</f>
        <v>1</v>
      </c>
      <c r="I198" s="14">
        <f>IFERROR(__xludf.DUMMYFUNCTION("""COMPUTED_VALUE"""),-40.7976)</f>
        <v>-40.7976</v>
      </c>
      <c r="J198" s="3"/>
      <c r="K198" s="21"/>
      <c r="L198" s="21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>
      <c r="A199" s="12"/>
      <c r="B199" s="14" t="str">
        <f>IFERROR(__xludf.DUMMYFUNCTION("""COMPUTED_VALUE"""),"US-2014-133130")</f>
        <v>US-2014-133130</v>
      </c>
      <c r="C199" s="22">
        <f>IFERROR(__xludf.DUMMYFUNCTION("""COMPUTED_VALUE"""),41909.0)</f>
        <v>41909</v>
      </c>
      <c r="D199" s="14" t="str">
        <f>IFERROR(__xludf.DUMMYFUNCTION("""COMPUTED_VALUE"""),"Consumer")</f>
        <v>Consumer</v>
      </c>
      <c r="E199" s="14" t="str">
        <f>IFERROR(__xludf.DUMMYFUNCTION("""COMPUTED_VALUE"""),"California")</f>
        <v>California</v>
      </c>
      <c r="F199" s="14" t="str">
        <f>IFERROR(__xludf.DUMMYFUNCTION("""COMPUTED_VALUE"""),"West")</f>
        <v>West</v>
      </c>
      <c r="G199" s="14">
        <f>IFERROR(__xludf.DUMMYFUNCTION("""COMPUTED_VALUE"""),603.92)</f>
        <v>603.92</v>
      </c>
      <c r="H199" s="14">
        <f>IFERROR(__xludf.DUMMYFUNCTION("""COMPUTED_VALUE"""),5.0)</f>
        <v>5</v>
      </c>
      <c r="I199" s="14">
        <f>IFERROR(__xludf.DUMMYFUNCTION("""COMPUTED_VALUE"""),45.294)</f>
        <v>45.294</v>
      </c>
      <c r="J199" s="3"/>
      <c r="K199" s="21"/>
      <c r="L199" s="21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>
      <c r="A200" s="12"/>
      <c r="B200" s="14" t="str">
        <f>IFERROR(__xludf.DUMMYFUNCTION("""COMPUTED_VALUE"""),"CA-2014-134551")</f>
        <v>CA-2014-134551</v>
      </c>
      <c r="C200" s="23">
        <f>IFERROR(__xludf.DUMMYFUNCTION("""COMPUTED_VALUE"""),41993.0)</f>
        <v>41993</v>
      </c>
      <c r="D200" s="14" t="str">
        <f>IFERROR(__xludf.DUMMYFUNCTION("""COMPUTED_VALUE"""),"Consumer")</f>
        <v>Consumer</v>
      </c>
      <c r="E200" s="14" t="str">
        <f>IFERROR(__xludf.DUMMYFUNCTION("""COMPUTED_VALUE"""),"Tennessee")</f>
        <v>Tennessee</v>
      </c>
      <c r="F200" s="14" t="str">
        <f>IFERROR(__xludf.DUMMYFUNCTION("""COMPUTED_VALUE"""),"South")</f>
        <v>South</v>
      </c>
      <c r="G200" s="14">
        <f>IFERROR(__xludf.DUMMYFUNCTION("""COMPUTED_VALUE"""),43.512)</f>
        <v>43.512</v>
      </c>
      <c r="H200" s="14">
        <f>IFERROR(__xludf.DUMMYFUNCTION("""COMPUTED_VALUE"""),7.0)</f>
        <v>7</v>
      </c>
      <c r="I200" s="14">
        <f>IFERROR(__xludf.DUMMYFUNCTION("""COMPUTED_VALUE"""),3.8073)</f>
        <v>3.8073</v>
      </c>
      <c r="J200" s="3"/>
      <c r="K200" s="21"/>
      <c r="L200" s="21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>
      <c r="A201" s="12"/>
      <c r="B201" s="14" t="str">
        <f>IFERROR(__xludf.DUMMYFUNCTION("""COMPUTED_VALUE"""),"CA-2014-165309")</f>
        <v>CA-2014-165309</v>
      </c>
      <c r="C201" s="23">
        <f>IFERROR(__xludf.DUMMYFUNCTION("""COMPUTED_VALUE"""),41954.0)</f>
        <v>41954</v>
      </c>
      <c r="D201" s="14" t="str">
        <f>IFERROR(__xludf.DUMMYFUNCTION("""COMPUTED_VALUE"""),"Consumer")</f>
        <v>Consumer</v>
      </c>
      <c r="E201" s="14" t="str">
        <f>IFERROR(__xludf.DUMMYFUNCTION("""COMPUTED_VALUE"""),"Texas")</f>
        <v>Texas</v>
      </c>
      <c r="F201" s="14" t="str">
        <f>IFERROR(__xludf.DUMMYFUNCTION("""COMPUTED_VALUE"""),"Central")</f>
        <v>Central</v>
      </c>
      <c r="G201" s="14">
        <f>IFERROR(__xludf.DUMMYFUNCTION("""COMPUTED_VALUE"""),896.99)</f>
        <v>896.99</v>
      </c>
      <c r="H201" s="14">
        <f>IFERROR(__xludf.DUMMYFUNCTION("""COMPUTED_VALUE"""),5.0)</f>
        <v>5</v>
      </c>
      <c r="I201" s="14">
        <f>IFERROR(__xludf.DUMMYFUNCTION("""COMPUTED_VALUE"""),-1480.0335)</f>
        <v>-1480.0335</v>
      </c>
      <c r="J201" s="3"/>
      <c r="K201" s="21"/>
      <c r="L201" s="21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>
      <c r="A202" s="12"/>
      <c r="B202" s="14" t="str">
        <f>IFERROR(__xludf.DUMMYFUNCTION("""COMPUTED_VALUE"""),"CA-2014-115161")</f>
        <v>CA-2014-115161</v>
      </c>
      <c r="C202" s="22">
        <f>IFERROR(__xludf.DUMMYFUNCTION("""COMPUTED_VALUE"""),41670.0)</f>
        <v>41670</v>
      </c>
      <c r="D202" s="14" t="str">
        <f>IFERROR(__xludf.DUMMYFUNCTION("""COMPUTED_VALUE"""),"Consumer")</f>
        <v>Consumer</v>
      </c>
      <c r="E202" s="14" t="str">
        <f>IFERROR(__xludf.DUMMYFUNCTION("""COMPUTED_VALUE"""),"California")</f>
        <v>California</v>
      </c>
      <c r="F202" s="14" t="str">
        <f>IFERROR(__xludf.DUMMYFUNCTION("""COMPUTED_VALUE"""),"West")</f>
        <v>West</v>
      </c>
      <c r="G202" s="14">
        <f>IFERROR(__xludf.DUMMYFUNCTION("""COMPUTED_VALUE"""),290.666)</f>
        <v>290.666</v>
      </c>
      <c r="H202" s="14">
        <f>IFERROR(__xludf.DUMMYFUNCTION("""COMPUTED_VALUE"""),2.0)</f>
        <v>2</v>
      </c>
      <c r="I202" s="14">
        <f>IFERROR(__xludf.DUMMYFUNCTION("""COMPUTED_VALUE"""),3.4196)</f>
        <v>3.4196</v>
      </c>
      <c r="J202" s="3"/>
      <c r="K202" s="21"/>
      <c r="L202" s="21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>
      <c r="A203" s="12"/>
      <c r="B203" s="14" t="str">
        <f>IFERROR(__xludf.DUMMYFUNCTION("""COMPUTED_VALUE"""),"CA-2014-105340")</f>
        <v>CA-2014-105340</v>
      </c>
      <c r="C203" s="23">
        <f>IFERROR(__xludf.DUMMYFUNCTION("""COMPUTED_VALUE"""),41965.0)</f>
        <v>41965</v>
      </c>
      <c r="D203" s="14" t="str">
        <f>IFERROR(__xludf.DUMMYFUNCTION("""COMPUTED_VALUE"""),"Consumer")</f>
        <v>Consumer</v>
      </c>
      <c r="E203" s="14" t="str">
        <f>IFERROR(__xludf.DUMMYFUNCTION("""COMPUTED_VALUE"""),"Texas")</f>
        <v>Texas</v>
      </c>
      <c r="F203" s="14" t="str">
        <f>IFERROR(__xludf.DUMMYFUNCTION("""COMPUTED_VALUE"""),"Central")</f>
        <v>Central</v>
      </c>
      <c r="G203" s="14">
        <f>IFERROR(__xludf.DUMMYFUNCTION("""COMPUTED_VALUE"""),6.928)</f>
        <v>6.928</v>
      </c>
      <c r="H203" s="14">
        <f>IFERROR(__xludf.DUMMYFUNCTION("""COMPUTED_VALUE"""),1.0)</f>
        <v>1</v>
      </c>
      <c r="I203" s="14">
        <f>IFERROR(__xludf.DUMMYFUNCTION("""COMPUTED_VALUE"""),-11.0848)</f>
        <v>-11.0848</v>
      </c>
      <c r="J203" s="3"/>
      <c r="K203" s="21"/>
      <c r="L203" s="21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>
      <c r="A204" s="12"/>
      <c r="B204" s="14" t="str">
        <f>IFERROR(__xludf.DUMMYFUNCTION("""COMPUTED_VALUE"""),"CA-2014-158337")</f>
        <v>CA-2014-158337</v>
      </c>
      <c r="C204" s="22">
        <f>IFERROR(__xludf.DUMMYFUNCTION("""COMPUTED_VALUE"""),41709.0)</f>
        <v>41709</v>
      </c>
      <c r="D204" s="14" t="str">
        <f>IFERROR(__xludf.DUMMYFUNCTION("""COMPUTED_VALUE"""),"Consumer")</f>
        <v>Consumer</v>
      </c>
      <c r="E204" s="14" t="str">
        <f>IFERROR(__xludf.DUMMYFUNCTION("""COMPUTED_VALUE"""),"New York")</f>
        <v>New York</v>
      </c>
      <c r="F204" s="14" t="str">
        <f>IFERROR(__xludf.DUMMYFUNCTION("""COMPUTED_VALUE"""),"East")</f>
        <v>East</v>
      </c>
      <c r="G204" s="14">
        <f>IFERROR(__xludf.DUMMYFUNCTION("""COMPUTED_VALUE"""),108.92)</f>
        <v>108.92</v>
      </c>
      <c r="H204" s="14">
        <f>IFERROR(__xludf.DUMMYFUNCTION("""COMPUTED_VALUE"""),14.0)</f>
        <v>14</v>
      </c>
      <c r="I204" s="14">
        <f>IFERROR(__xludf.DUMMYFUNCTION("""COMPUTED_VALUE"""),49.014)</f>
        <v>49.014</v>
      </c>
      <c r="J204" s="3"/>
      <c r="K204" s="21"/>
      <c r="L204" s="21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>
      <c r="A205" s="12"/>
      <c r="B205" s="14" t="str">
        <f>IFERROR(__xludf.DUMMYFUNCTION("""COMPUTED_VALUE"""),"CA-2014-143385")</f>
        <v>CA-2014-143385</v>
      </c>
      <c r="C205" s="22">
        <f>IFERROR(__xludf.DUMMYFUNCTION("""COMPUTED_VALUE"""),41882.0)</f>
        <v>41882</v>
      </c>
      <c r="D205" s="14" t="str">
        <f>IFERROR(__xludf.DUMMYFUNCTION("""COMPUTED_VALUE"""),"Consumer")</f>
        <v>Consumer</v>
      </c>
      <c r="E205" s="14" t="str">
        <f>IFERROR(__xludf.DUMMYFUNCTION("""COMPUTED_VALUE"""),"New Mexico")</f>
        <v>New Mexico</v>
      </c>
      <c r="F205" s="14" t="str">
        <f>IFERROR(__xludf.DUMMYFUNCTION("""COMPUTED_VALUE"""),"West")</f>
        <v>West</v>
      </c>
      <c r="G205" s="14">
        <f>IFERROR(__xludf.DUMMYFUNCTION("""COMPUTED_VALUE"""),92.52)</f>
        <v>92.52</v>
      </c>
      <c r="H205" s="14">
        <f>IFERROR(__xludf.DUMMYFUNCTION("""COMPUTED_VALUE"""),9.0)</f>
        <v>9</v>
      </c>
      <c r="I205" s="14">
        <f>IFERROR(__xludf.DUMMYFUNCTION("""COMPUTED_VALUE"""),18.504)</f>
        <v>18.504</v>
      </c>
      <c r="J205" s="3"/>
      <c r="K205" s="21"/>
      <c r="L205" s="21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>
      <c r="A206" s="12"/>
      <c r="B206" s="14" t="str">
        <f>IFERROR(__xludf.DUMMYFUNCTION("""COMPUTED_VALUE"""),"CA-2014-124023")</f>
        <v>CA-2014-124023</v>
      </c>
      <c r="C206" s="22">
        <f>IFERROR(__xludf.DUMMYFUNCTION("""COMPUTED_VALUE"""),41736.0)</f>
        <v>41736</v>
      </c>
      <c r="D206" s="14" t="str">
        <f>IFERROR(__xludf.DUMMYFUNCTION("""COMPUTED_VALUE"""),"Consumer")</f>
        <v>Consumer</v>
      </c>
      <c r="E206" s="14" t="str">
        <f>IFERROR(__xludf.DUMMYFUNCTION("""COMPUTED_VALUE"""),"Alabama")</f>
        <v>Alabama</v>
      </c>
      <c r="F206" s="14" t="str">
        <f>IFERROR(__xludf.DUMMYFUNCTION("""COMPUTED_VALUE"""),"South")</f>
        <v>South</v>
      </c>
      <c r="G206" s="14">
        <f>IFERROR(__xludf.DUMMYFUNCTION("""COMPUTED_VALUE"""),8.96)</f>
        <v>8.96</v>
      </c>
      <c r="H206" s="14">
        <f>IFERROR(__xludf.DUMMYFUNCTION("""COMPUTED_VALUE"""),2.0)</f>
        <v>2</v>
      </c>
      <c r="I206" s="14">
        <f>IFERROR(__xludf.DUMMYFUNCTION("""COMPUTED_VALUE"""),2.7776)</f>
        <v>2.7776</v>
      </c>
      <c r="J206" s="3"/>
      <c r="K206" s="21"/>
      <c r="L206" s="21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>
      <c r="A207" s="12"/>
      <c r="B207" s="14" t="str">
        <f>IFERROR(__xludf.DUMMYFUNCTION("""COMPUTED_VALUE"""),"CA-2014-166863")</f>
        <v>CA-2014-166863</v>
      </c>
      <c r="C207" s="22">
        <f>IFERROR(__xludf.DUMMYFUNCTION("""COMPUTED_VALUE"""),41810.0)</f>
        <v>41810</v>
      </c>
      <c r="D207" s="14" t="str">
        <f>IFERROR(__xludf.DUMMYFUNCTION("""COMPUTED_VALUE"""),"Consumer")</f>
        <v>Consumer</v>
      </c>
      <c r="E207" s="14" t="str">
        <f>IFERROR(__xludf.DUMMYFUNCTION("""COMPUTED_VALUE"""),"Texas")</f>
        <v>Texas</v>
      </c>
      <c r="F207" s="14" t="str">
        <f>IFERROR(__xludf.DUMMYFUNCTION("""COMPUTED_VALUE"""),"Central")</f>
        <v>Central</v>
      </c>
      <c r="G207" s="14">
        <f>IFERROR(__xludf.DUMMYFUNCTION("""COMPUTED_VALUE"""),201.584)</f>
        <v>201.584</v>
      </c>
      <c r="H207" s="14">
        <f>IFERROR(__xludf.DUMMYFUNCTION("""COMPUTED_VALUE"""),2.0)</f>
        <v>2</v>
      </c>
      <c r="I207" s="14">
        <f>IFERROR(__xludf.DUMMYFUNCTION("""COMPUTED_VALUE"""),20.1584)</f>
        <v>20.1584</v>
      </c>
      <c r="J207" s="3"/>
      <c r="K207" s="21"/>
      <c r="L207" s="21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>
      <c r="A208" s="12"/>
      <c r="B208" s="14" t="str">
        <f>IFERROR(__xludf.DUMMYFUNCTION("""COMPUTED_VALUE"""),"CA-2014-110849")</f>
        <v>CA-2014-110849</v>
      </c>
      <c r="C208" s="22">
        <f>IFERROR(__xludf.DUMMYFUNCTION("""COMPUTED_VALUE"""),41747.0)</f>
        <v>41747</v>
      </c>
      <c r="D208" s="14" t="str">
        <f>IFERROR(__xludf.DUMMYFUNCTION("""COMPUTED_VALUE"""),"Consumer")</f>
        <v>Consumer</v>
      </c>
      <c r="E208" s="14" t="str">
        <f>IFERROR(__xludf.DUMMYFUNCTION("""COMPUTED_VALUE"""),"California")</f>
        <v>California</v>
      </c>
      <c r="F208" s="14" t="str">
        <f>IFERROR(__xludf.DUMMYFUNCTION("""COMPUTED_VALUE"""),"West")</f>
        <v>West</v>
      </c>
      <c r="G208" s="14">
        <f>IFERROR(__xludf.DUMMYFUNCTION("""COMPUTED_VALUE"""),287.968)</f>
        <v>287.968</v>
      </c>
      <c r="H208" s="14">
        <f>IFERROR(__xludf.DUMMYFUNCTION("""COMPUTED_VALUE"""),4.0)</f>
        <v>4</v>
      </c>
      <c r="I208" s="14">
        <f>IFERROR(__xludf.DUMMYFUNCTION("""COMPUTED_VALUE"""),97.1892)</f>
        <v>97.1892</v>
      </c>
      <c r="J208" s="3"/>
      <c r="K208" s="21"/>
      <c r="L208" s="21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>
      <c r="A209" s="12"/>
      <c r="B209" s="14" t="str">
        <f>IFERROR(__xludf.DUMMYFUNCTION("""COMPUTED_VALUE"""),"CA-2014-120838")</f>
        <v>CA-2014-120838</v>
      </c>
      <c r="C209" s="22">
        <f>IFERROR(__xludf.DUMMYFUNCTION("""COMPUTED_VALUE"""),41721.0)</f>
        <v>41721</v>
      </c>
      <c r="D209" s="14" t="str">
        <f>IFERROR(__xludf.DUMMYFUNCTION("""COMPUTED_VALUE"""),"Consumer")</f>
        <v>Consumer</v>
      </c>
      <c r="E209" s="14" t="str">
        <f>IFERROR(__xludf.DUMMYFUNCTION("""COMPUTED_VALUE"""),"California")</f>
        <v>California</v>
      </c>
      <c r="F209" s="14" t="str">
        <f>IFERROR(__xludf.DUMMYFUNCTION("""COMPUTED_VALUE"""),"West")</f>
        <v>West</v>
      </c>
      <c r="G209" s="14">
        <f>IFERROR(__xludf.DUMMYFUNCTION("""COMPUTED_VALUE"""),330.4)</f>
        <v>330.4</v>
      </c>
      <c r="H209" s="14">
        <f>IFERROR(__xludf.DUMMYFUNCTION("""COMPUTED_VALUE"""),2.0)</f>
        <v>2</v>
      </c>
      <c r="I209" s="14">
        <f>IFERROR(__xludf.DUMMYFUNCTION("""COMPUTED_VALUE"""),85.904)</f>
        <v>85.904</v>
      </c>
      <c r="J209" s="3"/>
      <c r="K209" s="21"/>
      <c r="L209" s="21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>
      <c r="A210" s="12"/>
      <c r="B210" s="14" t="str">
        <f>IFERROR(__xludf.DUMMYFUNCTION("""COMPUTED_VALUE"""),"CA-2014-154186")</f>
        <v>CA-2014-154186</v>
      </c>
      <c r="C210" s="23">
        <f>IFERROR(__xludf.DUMMYFUNCTION("""COMPUTED_VALUE"""),41986.0)</f>
        <v>41986</v>
      </c>
      <c r="D210" s="14" t="str">
        <f>IFERROR(__xludf.DUMMYFUNCTION("""COMPUTED_VALUE"""),"Consumer")</f>
        <v>Consumer</v>
      </c>
      <c r="E210" s="14" t="str">
        <f>IFERROR(__xludf.DUMMYFUNCTION("""COMPUTED_VALUE"""),"Texas")</f>
        <v>Texas</v>
      </c>
      <c r="F210" s="14" t="str">
        <f>IFERROR(__xludf.DUMMYFUNCTION("""COMPUTED_VALUE"""),"Central")</f>
        <v>Central</v>
      </c>
      <c r="G210" s="14">
        <f>IFERROR(__xludf.DUMMYFUNCTION("""COMPUTED_VALUE"""),2.92)</f>
        <v>2.92</v>
      </c>
      <c r="H210" s="14">
        <f>IFERROR(__xludf.DUMMYFUNCTION("""COMPUTED_VALUE"""),1.0)</f>
        <v>1</v>
      </c>
      <c r="I210" s="14">
        <f>IFERROR(__xludf.DUMMYFUNCTION("""COMPUTED_VALUE"""),0.365)</f>
        <v>0.365</v>
      </c>
      <c r="J210" s="3"/>
      <c r="K210" s="21"/>
      <c r="L210" s="21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>
      <c r="A211" s="12"/>
      <c r="B211" s="14" t="str">
        <f>IFERROR(__xludf.DUMMYFUNCTION("""COMPUTED_VALUE"""),"CA-2014-102869")</f>
        <v>CA-2014-102869</v>
      </c>
      <c r="C211" s="22">
        <f>IFERROR(__xludf.DUMMYFUNCTION("""COMPUTED_VALUE"""),41891.0)</f>
        <v>41891</v>
      </c>
      <c r="D211" s="14" t="str">
        <f>IFERROR(__xludf.DUMMYFUNCTION("""COMPUTED_VALUE"""),"Consumer")</f>
        <v>Consumer</v>
      </c>
      <c r="E211" s="14" t="str">
        <f>IFERROR(__xludf.DUMMYFUNCTION("""COMPUTED_VALUE"""),"Pennsylvania")</f>
        <v>Pennsylvania</v>
      </c>
      <c r="F211" s="14" t="str">
        <f>IFERROR(__xludf.DUMMYFUNCTION("""COMPUTED_VALUE"""),"East")</f>
        <v>East</v>
      </c>
      <c r="G211" s="14">
        <f>IFERROR(__xludf.DUMMYFUNCTION("""COMPUTED_VALUE"""),15.552)</f>
        <v>15.552</v>
      </c>
      <c r="H211" s="14">
        <f>IFERROR(__xludf.DUMMYFUNCTION("""COMPUTED_VALUE"""),3.0)</f>
        <v>3</v>
      </c>
      <c r="I211" s="14">
        <f>IFERROR(__xludf.DUMMYFUNCTION("""COMPUTED_VALUE"""),5.4432)</f>
        <v>5.4432</v>
      </c>
      <c r="J211" s="3"/>
      <c r="K211" s="21"/>
      <c r="L211" s="21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>
      <c r="A212" s="12"/>
      <c r="B212" s="14" t="str">
        <f>IFERROR(__xludf.DUMMYFUNCTION("""COMPUTED_VALUE"""),"CA-2014-159835")</f>
        <v>CA-2014-159835</v>
      </c>
      <c r="C212" s="23">
        <f>IFERROR(__xludf.DUMMYFUNCTION("""COMPUTED_VALUE"""),41960.0)</f>
        <v>41960</v>
      </c>
      <c r="D212" s="14" t="str">
        <f>IFERROR(__xludf.DUMMYFUNCTION("""COMPUTED_VALUE"""),"Consumer")</f>
        <v>Consumer</v>
      </c>
      <c r="E212" s="14" t="str">
        <f>IFERROR(__xludf.DUMMYFUNCTION("""COMPUTED_VALUE"""),"Pennsylvania")</f>
        <v>Pennsylvania</v>
      </c>
      <c r="F212" s="14" t="str">
        <f>IFERROR(__xludf.DUMMYFUNCTION("""COMPUTED_VALUE"""),"East")</f>
        <v>East</v>
      </c>
      <c r="G212" s="14">
        <f>IFERROR(__xludf.DUMMYFUNCTION("""COMPUTED_VALUE"""),12.448)</f>
        <v>12.448</v>
      </c>
      <c r="H212" s="14">
        <f>IFERROR(__xludf.DUMMYFUNCTION("""COMPUTED_VALUE"""),2.0)</f>
        <v>2</v>
      </c>
      <c r="I212" s="14">
        <f>IFERROR(__xludf.DUMMYFUNCTION("""COMPUTED_VALUE"""),3.89)</f>
        <v>3.89</v>
      </c>
      <c r="J212" s="3"/>
      <c r="K212" s="21"/>
      <c r="L212" s="21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>
      <c r="A213" s="12"/>
      <c r="B213" s="14" t="str">
        <f>IFERROR(__xludf.DUMMYFUNCTION("""COMPUTED_VALUE"""),"CA-2014-163559")</f>
        <v>CA-2014-163559</v>
      </c>
      <c r="C213" s="22">
        <f>IFERROR(__xludf.DUMMYFUNCTION("""COMPUTED_VALUE"""),41905.0)</f>
        <v>41905</v>
      </c>
      <c r="D213" s="14" t="str">
        <f>IFERROR(__xludf.DUMMYFUNCTION("""COMPUTED_VALUE"""),"Consumer")</f>
        <v>Consumer</v>
      </c>
      <c r="E213" s="14" t="str">
        <f>IFERROR(__xludf.DUMMYFUNCTION("""COMPUTED_VALUE"""),"New York")</f>
        <v>New York</v>
      </c>
      <c r="F213" s="14" t="str">
        <f>IFERROR(__xludf.DUMMYFUNCTION("""COMPUTED_VALUE"""),"East")</f>
        <v>East</v>
      </c>
      <c r="G213" s="14">
        <f>IFERROR(__xludf.DUMMYFUNCTION("""COMPUTED_VALUE"""),139.44)</f>
        <v>139.44</v>
      </c>
      <c r="H213" s="14">
        <f>IFERROR(__xludf.DUMMYFUNCTION("""COMPUTED_VALUE"""),3.0)</f>
        <v>3</v>
      </c>
      <c r="I213" s="14">
        <f>IFERROR(__xludf.DUMMYFUNCTION("""COMPUTED_VALUE"""),47.061)</f>
        <v>47.061</v>
      </c>
      <c r="J213" s="3"/>
      <c r="K213" s="21"/>
      <c r="L213" s="21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>
      <c r="A214" s="12"/>
      <c r="B214" s="14" t="str">
        <f>IFERROR(__xludf.DUMMYFUNCTION("""COMPUTED_VALUE"""),"CA-2014-159184")</f>
        <v>CA-2014-159184</v>
      </c>
      <c r="C214" s="22">
        <f>IFERROR(__xludf.DUMMYFUNCTION("""COMPUTED_VALUE"""),41896.0)</f>
        <v>41896</v>
      </c>
      <c r="D214" s="14" t="str">
        <f>IFERROR(__xludf.DUMMYFUNCTION("""COMPUTED_VALUE"""),"Consumer")</f>
        <v>Consumer</v>
      </c>
      <c r="E214" s="14" t="str">
        <f>IFERROR(__xludf.DUMMYFUNCTION("""COMPUTED_VALUE"""),"Georgia")</f>
        <v>Georgia</v>
      </c>
      <c r="F214" s="14" t="str">
        <f>IFERROR(__xludf.DUMMYFUNCTION("""COMPUTED_VALUE"""),"South")</f>
        <v>South</v>
      </c>
      <c r="G214" s="14">
        <f>IFERROR(__xludf.DUMMYFUNCTION("""COMPUTED_VALUE"""),142.4)</f>
        <v>142.4</v>
      </c>
      <c r="H214" s="14">
        <f>IFERROR(__xludf.DUMMYFUNCTION("""COMPUTED_VALUE"""),5.0)</f>
        <v>5</v>
      </c>
      <c r="I214" s="14">
        <f>IFERROR(__xludf.DUMMYFUNCTION("""COMPUTED_VALUE"""),52.688)</f>
        <v>52.688</v>
      </c>
      <c r="J214" s="3"/>
      <c r="K214" s="21"/>
      <c r="L214" s="21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>
      <c r="A215" s="12"/>
      <c r="B215" s="14" t="str">
        <f>IFERROR(__xludf.DUMMYFUNCTION("""COMPUTED_VALUE"""),"CA-2014-169726")</f>
        <v>CA-2014-169726</v>
      </c>
      <c r="C215" s="22">
        <f>IFERROR(__xludf.DUMMYFUNCTION("""COMPUTED_VALUE"""),41860.0)</f>
        <v>41860</v>
      </c>
      <c r="D215" s="14" t="str">
        <f>IFERROR(__xludf.DUMMYFUNCTION("""COMPUTED_VALUE"""),"Consumer")</f>
        <v>Consumer</v>
      </c>
      <c r="E215" s="14" t="str">
        <f>IFERROR(__xludf.DUMMYFUNCTION("""COMPUTED_VALUE"""),"Washington")</f>
        <v>Washington</v>
      </c>
      <c r="F215" s="14" t="str">
        <f>IFERROR(__xludf.DUMMYFUNCTION("""COMPUTED_VALUE"""),"West")</f>
        <v>West</v>
      </c>
      <c r="G215" s="14">
        <f>IFERROR(__xludf.DUMMYFUNCTION("""COMPUTED_VALUE"""),2060.744)</f>
        <v>2060.744</v>
      </c>
      <c r="H215" s="14">
        <f>IFERROR(__xludf.DUMMYFUNCTION("""COMPUTED_VALUE"""),7.0)</f>
        <v>7</v>
      </c>
      <c r="I215" s="14">
        <f>IFERROR(__xludf.DUMMYFUNCTION("""COMPUTED_VALUE"""),643.9825)</f>
        <v>643.9825</v>
      </c>
      <c r="J215" s="3"/>
      <c r="K215" s="21"/>
      <c r="L215" s="21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>
      <c r="A216" s="12"/>
      <c r="B216" s="14" t="str">
        <f>IFERROR(__xludf.DUMMYFUNCTION("""COMPUTED_VALUE"""),"CA-2014-156594")</f>
        <v>CA-2014-156594</v>
      </c>
      <c r="C216" s="23">
        <f>IFERROR(__xludf.DUMMYFUNCTION("""COMPUTED_VALUE"""),41993.0)</f>
        <v>41993</v>
      </c>
      <c r="D216" s="14" t="str">
        <f>IFERROR(__xludf.DUMMYFUNCTION("""COMPUTED_VALUE"""),"Consumer")</f>
        <v>Consumer</v>
      </c>
      <c r="E216" s="14" t="str">
        <f>IFERROR(__xludf.DUMMYFUNCTION("""COMPUTED_VALUE"""),"California")</f>
        <v>California</v>
      </c>
      <c r="F216" s="14" t="str">
        <f>IFERROR(__xludf.DUMMYFUNCTION("""COMPUTED_VALUE"""),"West")</f>
        <v>West</v>
      </c>
      <c r="G216" s="14">
        <f>IFERROR(__xludf.DUMMYFUNCTION("""COMPUTED_VALUE"""),487.984)</f>
        <v>487.984</v>
      </c>
      <c r="H216" s="14">
        <f>IFERROR(__xludf.DUMMYFUNCTION("""COMPUTED_VALUE"""),2.0)</f>
        <v>2</v>
      </c>
      <c r="I216" s="14">
        <f>IFERROR(__xludf.DUMMYFUNCTION("""COMPUTED_VALUE"""),152.495)</f>
        <v>152.495</v>
      </c>
      <c r="J216" s="3"/>
      <c r="K216" s="21"/>
      <c r="L216" s="21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>
      <c r="A217" s="12"/>
      <c r="B217" s="14" t="str">
        <f>IFERROR(__xludf.DUMMYFUNCTION("""COMPUTED_VALUE"""),"CA-2014-129364")</f>
        <v>CA-2014-129364</v>
      </c>
      <c r="C217" s="22">
        <f>IFERROR(__xludf.DUMMYFUNCTION("""COMPUTED_VALUE"""),41981.0)</f>
        <v>41981</v>
      </c>
      <c r="D217" s="14" t="str">
        <f>IFERROR(__xludf.DUMMYFUNCTION("""COMPUTED_VALUE"""),"Consumer")</f>
        <v>Consumer</v>
      </c>
      <c r="E217" s="14" t="str">
        <f>IFERROR(__xludf.DUMMYFUNCTION("""COMPUTED_VALUE"""),"Oregon")</f>
        <v>Oregon</v>
      </c>
      <c r="F217" s="14" t="str">
        <f>IFERROR(__xludf.DUMMYFUNCTION("""COMPUTED_VALUE"""),"West")</f>
        <v>West</v>
      </c>
      <c r="G217" s="14">
        <f>IFERROR(__xludf.DUMMYFUNCTION("""COMPUTED_VALUE"""),27.888)</f>
        <v>27.888</v>
      </c>
      <c r="H217" s="14">
        <f>IFERROR(__xludf.DUMMYFUNCTION("""COMPUTED_VALUE"""),7.0)</f>
        <v>7</v>
      </c>
      <c r="I217" s="14">
        <f>IFERROR(__xludf.DUMMYFUNCTION("""COMPUTED_VALUE"""),9.0636)</f>
        <v>9.0636</v>
      </c>
      <c r="J217" s="3"/>
      <c r="K217" s="21"/>
      <c r="L217" s="21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>
      <c r="A218" s="12"/>
      <c r="B218" s="14" t="str">
        <f>IFERROR(__xludf.DUMMYFUNCTION("""COMPUTED_VALUE"""),"CA-2014-135608")</f>
        <v>CA-2014-135608</v>
      </c>
      <c r="C218" s="22">
        <f>IFERROR(__xludf.DUMMYFUNCTION("""COMPUTED_VALUE"""),41981.0)</f>
        <v>41981</v>
      </c>
      <c r="D218" s="14" t="str">
        <f>IFERROR(__xludf.DUMMYFUNCTION("""COMPUTED_VALUE"""),"Consumer")</f>
        <v>Consumer</v>
      </c>
      <c r="E218" s="14" t="str">
        <f>IFERROR(__xludf.DUMMYFUNCTION("""COMPUTED_VALUE"""),"Washington")</f>
        <v>Washington</v>
      </c>
      <c r="F218" s="14" t="str">
        <f>IFERROR(__xludf.DUMMYFUNCTION("""COMPUTED_VALUE"""),"West")</f>
        <v>West</v>
      </c>
      <c r="G218" s="14">
        <f>IFERROR(__xludf.DUMMYFUNCTION("""COMPUTED_VALUE"""),45.68)</f>
        <v>45.68</v>
      </c>
      <c r="H218" s="14">
        <f>IFERROR(__xludf.DUMMYFUNCTION("""COMPUTED_VALUE"""),2.0)</f>
        <v>2</v>
      </c>
      <c r="I218" s="14">
        <f>IFERROR(__xludf.DUMMYFUNCTION("""COMPUTED_VALUE"""),21.0128)</f>
        <v>21.0128</v>
      </c>
      <c r="J218" s="3"/>
      <c r="K218" s="21"/>
      <c r="L218" s="21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>
      <c r="A219" s="12"/>
      <c r="B219" s="14" t="str">
        <f>IFERROR(__xludf.DUMMYFUNCTION("""COMPUTED_VALUE"""),"CA-2014-113047")</f>
        <v>CA-2014-113047</v>
      </c>
      <c r="C219" s="23">
        <f>IFERROR(__xludf.DUMMYFUNCTION("""COMPUTED_VALUE"""),41936.0)</f>
        <v>41936</v>
      </c>
      <c r="D219" s="14" t="str">
        <f>IFERROR(__xludf.DUMMYFUNCTION("""COMPUTED_VALUE"""),"Consumer")</f>
        <v>Consumer</v>
      </c>
      <c r="E219" s="14" t="str">
        <f>IFERROR(__xludf.DUMMYFUNCTION("""COMPUTED_VALUE"""),"South Carolina")</f>
        <v>South Carolina</v>
      </c>
      <c r="F219" s="14" t="str">
        <f>IFERROR(__xludf.DUMMYFUNCTION("""COMPUTED_VALUE"""),"South")</f>
        <v>South</v>
      </c>
      <c r="G219" s="14">
        <f>IFERROR(__xludf.DUMMYFUNCTION("""COMPUTED_VALUE"""),11.85)</f>
        <v>11.85</v>
      </c>
      <c r="H219" s="14">
        <f>IFERROR(__xludf.DUMMYFUNCTION("""COMPUTED_VALUE"""),3.0)</f>
        <v>3</v>
      </c>
      <c r="I219" s="14">
        <f>IFERROR(__xludf.DUMMYFUNCTION("""COMPUTED_VALUE"""),3.792)</f>
        <v>3.792</v>
      </c>
      <c r="J219" s="3"/>
      <c r="K219" s="21"/>
      <c r="L219" s="21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>
      <c r="A220" s="12"/>
      <c r="B220" s="14" t="str">
        <f>IFERROR(__xludf.DUMMYFUNCTION("""COMPUTED_VALUE"""),"CA-2014-115357")</f>
        <v>CA-2014-115357</v>
      </c>
      <c r="C220" s="22">
        <f>IFERROR(__xludf.DUMMYFUNCTION("""COMPUTED_VALUE"""),41857.0)</f>
        <v>41857</v>
      </c>
      <c r="D220" s="14" t="str">
        <f>IFERROR(__xludf.DUMMYFUNCTION("""COMPUTED_VALUE"""),"Consumer")</f>
        <v>Consumer</v>
      </c>
      <c r="E220" s="14" t="str">
        <f>IFERROR(__xludf.DUMMYFUNCTION("""COMPUTED_VALUE"""),"South Carolina")</f>
        <v>South Carolina</v>
      </c>
      <c r="F220" s="14" t="str">
        <f>IFERROR(__xludf.DUMMYFUNCTION("""COMPUTED_VALUE"""),"South")</f>
        <v>South</v>
      </c>
      <c r="G220" s="14">
        <f>IFERROR(__xludf.DUMMYFUNCTION("""COMPUTED_VALUE"""),62.91)</f>
        <v>62.91</v>
      </c>
      <c r="H220" s="14">
        <f>IFERROR(__xludf.DUMMYFUNCTION("""COMPUTED_VALUE"""),3.0)</f>
        <v>3</v>
      </c>
      <c r="I220" s="14">
        <f>IFERROR(__xludf.DUMMYFUNCTION("""COMPUTED_VALUE"""),22.6476)</f>
        <v>22.6476</v>
      </c>
      <c r="J220" s="3"/>
      <c r="K220" s="21"/>
      <c r="L220" s="21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>
      <c r="A221" s="12"/>
      <c r="B221" s="14" t="str">
        <f>IFERROR(__xludf.DUMMYFUNCTION("""COMPUTED_VALUE"""),"US-2014-102715")</f>
        <v>US-2014-102715</v>
      </c>
      <c r="C221" s="22">
        <f>IFERROR(__xludf.DUMMYFUNCTION("""COMPUTED_VALUE"""),41740.0)</f>
        <v>41740</v>
      </c>
      <c r="D221" s="14" t="str">
        <f>IFERROR(__xludf.DUMMYFUNCTION("""COMPUTED_VALUE"""),"Consumer")</f>
        <v>Consumer</v>
      </c>
      <c r="E221" s="14" t="str">
        <f>IFERROR(__xludf.DUMMYFUNCTION("""COMPUTED_VALUE"""),"Florida")</f>
        <v>Florida</v>
      </c>
      <c r="F221" s="14" t="str">
        <f>IFERROR(__xludf.DUMMYFUNCTION("""COMPUTED_VALUE"""),"South")</f>
        <v>South</v>
      </c>
      <c r="G221" s="14">
        <f>IFERROR(__xludf.DUMMYFUNCTION("""COMPUTED_VALUE"""),6.912)</f>
        <v>6.912</v>
      </c>
      <c r="H221" s="14">
        <f>IFERROR(__xludf.DUMMYFUNCTION("""COMPUTED_VALUE"""),3.0)</f>
        <v>3</v>
      </c>
      <c r="I221" s="14">
        <f>IFERROR(__xludf.DUMMYFUNCTION("""COMPUTED_VALUE"""),2.3328)</f>
        <v>2.3328</v>
      </c>
      <c r="J221" s="3"/>
      <c r="K221" s="21"/>
      <c r="L221" s="21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>
      <c r="A222" s="12"/>
      <c r="B222" s="14" t="str">
        <f>IFERROR(__xludf.DUMMYFUNCTION("""COMPUTED_VALUE"""),"US-2014-117163")</f>
        <v>US-2014-117163</v>
      </c>
      <c r="C222" s="22">
        <f>IFERROR(__xludf.DUMMYFUNCTION("""COMPUTED_VALUE"""),41666.0)</f>
        <v>41666</v>
      </c>
      <c r="D222" s="14" t="str">
        <f>IFERROR(__xludf.DUMMYFUNCTION("""COMPUTED_VALUE"""),"Consumer")</f>
        <v>Consumer</v>
      </c>
      <c r="E222" s="14" t="str">
        <f>IFERROR(__xludf.DUMMYFUNCTION("""COMPUTED_VALUE"""),"California")</f>
        <v>California</v>
      </c>
      <c r="F222" s="14" t="str">
        <f>IFERROR(__xludf.DUMMYFUNCTION("""COMPUTED_VALUE"""),"West")</f>
        <v>West</v>
      </c>
      <c r="G222" s="14">
        <f>IFERROR(__xludf.DUMMYFUNCTION("""COMPUTED_VALUE"""),57.23)</f>
        <v>57.23</v>
      </c>
      <c r="H222" s="14">
        <f>IFERROR(__xludf.DUMMYFUNCTION("""COMPUTED_VALUE"""),1.0)</f>
        <v>1</v>
      </c>
      <c r="I222" s="14">
        <f>IFERROR(__xludf.DUMMYFUNCTION("""COMPUTED_VALUE"""),14.3075)</f>
        <v>14.3075</v>
      </c>
      <c r="J222" s="3"/>
      <c r="K222" s="21"/>
      <c r="L222" s="21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>
      <c r="A223" s="12"/>
      <c r="B223" s="14" t="str">
        <f>IFERROR(__xludf.DUMMYFUNCTION("""COMPUTED_VALUE"""),"CA-2014-126760")</f>
        <v>CA-2014-126760</v>
      </c>
      <c r="C223" s="22">
        <f>IFERROR(__xludf.DUMMYFUNCTION("""COMPUTED_VALUE"""),41846.0)</f>
        <v>41846</v>
      </c>
      <c r="D223" s="14" t="str">
        <f>IFERROR(__xludf.DUMMYFUNCTION("""COMPUTED_VALUE"""),"Consumer")</f>
        <v>Consumer</v>
      </c>
      <c r="E223" s="14" t="str">
        <f>IFERROR(__xludf.DUMMYFUNCTION("""COMPUTED_VALUE"""),"Nevada")</f>
        <v>Nevada</v>
      </c>
      <c r="F223" s="14" t="str">
        <f>IFERROR(__xludf.DUMMYFUNCTION("""COMPUTED_VALUE"""),"West")</f>
        <v>West</v>
      </c>
      <c r="G223" s="14">
        <f>IFERROR(__xludf.DUMMYFUNCTION("""COMPUTED_VALUE"""),911.984)</f>
        <v>911.984</v>
      </c>
      <c r="H223" s="14">
        <f>IFERROR(__xludf.DUMMYFUNCTION("""COMPUTED_VALUE"""),2.0)</f>
        <v>2</v>
      </c>
      <c r="I223" s="14">
        <f>IFERROR(__xludf.DUMMYFUNCTION("""COMPUTED_VALUE"""),113.998)</f>
        <v>113.998</v>
      </c>
      <c r="J223" s="3"/>
      <c r="K223" s="21"/>
      <c r="L223" s="21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>
      <c r="A224" s="12"/>
      <c r="B224" s="14" t="str">
        <f>IFERROR(__xludf.DUMMYFUNCTION("""COMPUTED_VALUE"""),"CA-2014-140816")</f>
        <v>CA-2014-140816</v>
      </c>
      <c r="C224" s="23">
        <f>IFERROR(__xludf.DUMMYFUNCTION("""COMPUTED_VALUE"""),41993.0)</f>
        <v>41993</v>
      </c>
      <c r="D224" s="14" t="str">
        <f>IFERROR(__xludf.DUMMYFUNCTION("""COMPUTED_VALUE"""),"Consumer")</f>
        <v>Consumer</v>
      </c>
      <c r="E224" s="14" t="str">
        <f>IFERROR(__xludf.DUMMYFUNCTION("""COMPUTED_VALUE"""),"Colorado")</f>
        <v>Colorado</v>
      </c>
      <c r="F224" s="14" t="str">
        <f>IFERROR(__xludf.DUMMYFUNCTION("""COMPUTED_VALUE"""),"West")</f>
        <v>West</v>
      </c>
      <c r="G224" s="14">
        <f>IFERROR(__xludf.DUMMYFUNCTION("""COMPUTED_VALUE"""),447.944)</f>
        <v>447.944</v>
      </c>
      <c r="H224" s="14">
        <f>IFERROR(__xludf.DUMMYFUNCTION("""COMPUTED_VALUE"""),7.0)</f>
        <v>7</v>
      </c>
      <c r="I224" s="14">
        <f>IFERROR(__xludf.DUMMYFUNCTION("""COMPUTED_VALUE"""),89.5888)</f>
        <v>89.5888</v>
      </c>
      <c r="J224" s="3"/>
      <c r="K224" s="21"/>
      <c r="L224" s="21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>
      <c r="A225" s="12"/>
      <c r="B225" s="14" t="str">
        <f>IFERROR(__xludf.DUMMYFUNCTION("""COMPUTED_VALUE"""),"CA-2014-135755")</f>
        <v>CA-2014-135755</v>
      </c>
      <c r="C225" s="22">
        <f>IFERROR(__xludf.DUMMYFUNCTION("""COMPUTED_VALUE"""),41762.0)</f>
        <v>41762</v>
      </c>
      <c r="D225" s="14" t="str">
        <f>IFERROR(__xludf.DUMMYFUNCTION("""COMPUTED_VALUE"""),"Consumer")</f>
        <v>Consumer</v>
      </c>
      <c r="E225" s="14" t="str">
        <f>IFERROR(__xludf.DUMMYFUNCTION("""COMPUTED_VALUE"""),"New York")</f>
        <v>New York</v>
      </c>
      <c r="F225" s="14" t="str">
        <f>IFERROR(__xludf.DUMMYFUNCTION("""COMPUTED_VALUE"""),"East")</f>
        <v>East</v>
      </c>
      <c r="G225" s="14">
        <f>IFERROR(__xludf.DUMMYFUNCTION("""COMPUTED_VALUE"""),40.176)</f>
        <v>40.176</v>
      </c>
      <c r="H225" s="14">
        <f>IFERROR(__xludf.DUMMYFUNCTION("""COMPUTED_VALUE"""),3.0)</f>
        <v>3</v>
      </c>
      <c r="I225" s="14">
        <f>IFERROR(__xludf.DUMMYFUNCTION("""COMPUTED_VALUE"""),14.5638)</f>
        <v>14.5638</v>
      </c>
      <c r="J225" s="3"/>
      <c r="K225" s="21"/>
      <c r="L225" s="21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>
      <c r="A226" s="12"/>
      <c r="B226" s="14" t="str">
        <f>IFERROR(__xludf.DUMMYFUNCTION("""COMPUTED_VALUE"""),"CA-2014-124709")</f>
        <v>CA-2014-124709</v>
      </c>
      <c r="C226" s="22">
        <f>IFERROR(__xludf.DUMMYFUNCTION("""COMPUTED_VALUE"""),41847.0)</f>
        <v>41847</v>
      </c>
      <c r="D226" s="14" t="str">
        <f>IFERROR(__xludf.DUMMYFUNCTION("""COMPUTED_VALUE"""),"Consumer")</f>
        <v>Consumer</v>
      </c>
      <c r="E226" s="14" t="str">
        <f>IFERROR(__xludf.DUMMYFUNCTION("""COMPUTED_VALUE"""),"California")</f>
        <v>California</v>
      </c>
      <c r="F226" s="14" t="str">
        <f>IFERROR(__xludf.DUMMYFUNCTION("""COMPUTED_VALUE"""),"West")</f>
        <v>West</v>
      </c>
      <c r="G226" s="14">
        <f>IFERROR(__xludf.DUMMYFUNCTION("""COMPUTED_VALUE"""),238.0)</f>
        <v>238</v>
      </c>
      <c r="H226" s="14">
        <f>IFERROR(__xludf.DUMMYFUNCTION("""COMPUTED_VALUE"""),2.0)</f>
        <v>2</v>
      </c>
      <c r="I226" s="14">
        <f>IFERROR(__xludf.DUMMYFUNCTION("""COMPUTED_VALUE"""),38.08)</f>
        <v>38.08</v>
      </c>
      <c r="J226" s="3"/>
      <c r="K226" s="21"/>
      <c r="L226" s="21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>
      <c r="A227" s="12"/>
      <c r="B227" s="14" t="str">
        <f>IFERROR(__xludf.DUMMYFUNCTION("""COMPUTED_VALUE"""),"CA-2014-100895")</f>
        <v>CA-2014-100895</v>
      </c>
      <c r="C227" s="22">
        <f>IFERROR(__xludf.DUMMYFUNCTION("""COMPUTED_VALUE"""),41792.0)</f>
        <v>41792</v>
      </c>
      <c r="D227" s="14" t="str">
        <f>IFERROR(__xludf.DUMMYFUNCTION("""COMPUTED_VALUE"""),"Consumer")</f>
        <v>Consumer</v>
      </c>
      <c r="E227" s="14" t="str">
        <f>IFERROR(__xludf.DUMMYFUNCTION("""COMPUTED_VALUE"""),"Georgia")</f>
        <v>Georgia</v>
      </c>
      <c r="F227" s="14" t="str">
        <f>IFERROR(__xludf.DUMMYFUNCTION("""COMPUTED_VALUE"""),"South")</f>
        <v>South</v>
      </c>
      <c r="G227" s="14">
        <f>IFERROR(__xludf.DUMMYFUNCTION("""COMPUTED_VALUE"""),8.56)</f>
        <v>8.56</v>
      </c>
      <c r="H227" s="14">
        <f>IFERROR(__xludf.DUMMYFUNCTION("""COMPUTED_VALUE"""),2.0)</f>
        <v>2</v>
      </c>
      <c r="I227" s="14">
        <f>IFERROR(__xludf.DUMMYFUNCTION("""COMPUTED_VALUE"""),2.6536)</f>
        <v>2.6536</v>
      </c>
      <c r="J227" s="3"/>
      <c r="K227" s="21"/>
      <c r="L227" s="21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>
      <c r="A228" s="12"/>
      <c r="B228" s="14" t="str">
        <f>IFERROR(__xludf.DUMMYFUNCTION("""COMPUTED_VALUE"""),"CA-2014-103940")</f>
        <v>CA-2014-103940</v>
      </c>
      <c r="C228" s="22">
        <f>IFERROR(__xludf.DUMMYFUNCTION("""COMPUTED_VALUE"""),41899.0)</f>
        <v>41899</v>
      </c>
      <c r="D228" s="14" t="str">
        <f>IFERROR(__xludf.DUMMYFUNCTION("""COMPUTED_VALUE"""),"Consumer")</f>
        <v>Consumer</v>
      </c>
      <c r="E228" s="14" t="str">
        <f>IFERROR(__xludf.DUMMYFUNCTION("""COMPUTED_VALUE"""),"Washington")</f>
        <v>Washington</v>
      </c>
      <c r="F228" s="14" t="str">
        <f>IFERROR(__xludf.DUMMYFUNCTION("""COMPUTED_VALUE"""),"West")</f>
        <v>West</v>
      </c>
      <c r="G228" s="14">
        <f>IFERROR(__xludf.DUMMYFUNCTION("""COMPUTED_VALUE"""),30.28)</f>
        <v>30.28</v>
      </c>
      <c r="H228" s="14">
        <f>IFERROR(__xludf.DUMMYFUNCTION("""COMPUTED_VALUE"""),2.0)</f>
        <v>2</v>
      </c>
      <c r="I228" s="14">
        <f>IFERROR(__xludf.DUMMYFUNCTION("""COMPUTED_VALUE"""),1.2112)</f>
        <v>1.2112</v>
      </c>
      <c r="J228" s="3"/>
      <c r="K228" s="21"/>
      <c r="L228" s="21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>
      <c r="A229" s="12"/>
      <c r="B229" s="14" t="str">
        <f>IFERROR(__xludf.DUMMYFUNCTION("""COMPUTED_VALUE"""),"CA-2014-121167")</f>
        <v>CA-2014-121167</v>
      </c>
      <c r="C229" s="23">
        <f>IFERROR(__xludf.DUMMYFUNCTION("""COMPUTED_VALUE"""),41971.0)</f>
        <v>41971</v>
      </c>
      <c r="D229" s="14" t="str">
        <f>IFERROR(__xludf.DUMMYFUNCTION("""COMPUTED_VALUE"""),"Consumer")</f>
        <v>Consumer</v>
      </c>
      <c r="E229" s="14" t="str">
        <f>IFERROR(__xludf.DUMMYFUNCTION("""COMPUTED_VALUE"""),"New York")</f>
        <v>New York</v>
      </c>
      <c r="F229" s="14" t="str">
        <f>IFERROR(__xludf.DUMMYFUNCTION("""COMPUTED_VALUE"""),"East")</f>
        <v>East</v>
      </c>
      <c r="G229" s="14">
        <f>IFERROR(__xludf.DUMMYFUNCTION("""COMPUTED_VALUE"""),17.248)</f>
        <v>17.248</v>
      </c>
      <c r="H229" s="14">
        <f>IFERROR(__xludf.DUMMYFUNCTION("""COMPUTED_VALUE"""),2.0)</f>
        <v>2</v>
      </c>
      <c r="I229" s="14">
        <f>IFERROR(__xludf.DUMMYFUNCTION("""COMPUTED_VALUE"""),6.0368)</f>
        <v>6.0368</v>
      </c>
      <c r="J229" s="3"/>
      <c r="K229" s="21"/>
      <c r="L229" s="21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>
      <c r="A230" s="12"/>
      <c r="B230" s="14" t="str">
        <f>IFERROR(__xludf.DUMMYFUNCTION("""COMPUTED_VALUE"""),"CA-2014-133228")</f>
        <v>CA-2014-133228</v>
      </c>
      <c r="C230" s="22">
        <f>IFERROR(__xludf.DUMMYFUNCTION("""COMPUTED_VALUE"""),41733.0)</f>
        <v>41733</v>
      </c>
      <c r="D230" s="14" t="str">
        <f>IFERROR(__xludf.DUMMYFUNCTION("""COMPUTED_VALUE"""),"Consumer")</f>
        <v>Consumer</v>
      </c>
      <c r="E230" s="14" t="str">
        <f>IFERROR(__xludf.DUMMYFUNCTION("""COMPUTED_VALUE"""),"Michigan")</f>
        <v>Michigan</v>
      </c>
      <c r="F230" s="14" t="str">
        <f>IFERROR(__xludf.DUMMYFUNCTION("""COMPUTED_VALUE"""),"Central")</f>
        <v>Central</v>
      </c>
      <c r="G230" s="14">
        <f>IFERROR(__xludf.DUMMYFUNCTION("""COMPUTED_VALUE"""),5.47)</f>
        <v>5.47</v>
      </c>
      <c r="H230" s="14">
        <f>IFERROR(__xludf.DUMMYFUNCTION("""COMPUTED_VALUE"""),1.0)</f>
        <v>1</v>
      </c>
      <c r="I230" s="14">
        <f>IFERROR(__xludf.DUMMYFUNCTION("""COMPUTED_VALUE"""),2.3521)</f>
        <v>2.3521</v>
      </c>
      <c r="J230" s="3"/>
      <c r="K230" s="21"/>
      <c r="L230" s="21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>
      <c r="A231" s="12"/>
      <c r="B231" s="14" t="str">
        <f>IFERROR(__xludf.DUMMYFUNCTION("""COMPUTED_VALUE"""),"CA-2014-135090")</f>
        <v>CA-2014-135090</v>
      </c>
      <c r="C231" s="23">
        <f>IFERROR(__xludf.DUMMYFUNCTION("""COMPUTED_VALUE"""),41965.0)</f>
        <v>41965</v>
      </c>
      <c r="D231" s="14" t="str">
        <f>IFERROR(__xludf.DUMMYFUNCTION("""COMPUTED_VALUE"""),"Consumer")</f>
        <v>Consumer</v>
      </c>
      <c r="E231" s="14" t="str">
        <f>IFERROR(__xludf.DUMMYFUNCTION("""COMPUTED_VALUE"""),"California")</f>
        <v>California</v>
      </c>
      <c r="F231" s="14" t="str">
        <f>IFERROR(__xludf.DUMMYFUNCTION("""COMPUTED_VALUE"""),"West")</f>
        <v>West</v>
      </c>
      <c r="G231" s="14">
        <f>IFERROR(__xludf.DUMMYFUNCTION("""COMPUTED_VALUE"""),53.82)</f>
        <v>53.82</v>
      </c>
      <c r="H231" s="14">
        <f>IFERROR(__xludf.DUMMYFUNCTION("""COMPUTED_VALUE"""),9.0)</f>
        <v>9</v>
      </c>
      <c r="I231" s="14">
        <f>IFERROR(__xludf.DUMMYFUNCTION("""COMPUTED_VALUE"""),24.219)</f>
        <v>24.219</v>
      </c>
      <c r="J231" s="3"/>
      <c r="K231" s="21"/>
      <c r="L231" s="21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>
      <c r="A232" s="12"/>
      <c r="B232" s="14" t="str">
        <f>IFERROR(__xludf.DUMMYFUNCTION("""COMPUTED_VALUE"""),"CA-2014-122588")</f>
        <v>CA-2014-122588</v>
      </c>
      <c r="C232" s="23">
        <f>IFERROR(__xludf.DUMMYFUNCTION("""COMPUTED_VALUE"""),41968.0)</f>
        <v>41968</v>
      </c>
      <c r="D232" s="14" t="str">
        <f>IFERROR(__xludf.DUMMYFUNCTION("""COMPUTED_VALUE"""),"Consumer")</f>
        <v>Consumer</v>
      </c>
      <c r="E232" s="14" t="str">
        <f>IFERROR(__xludf.DUMMYFUNCTION("""COMPUTED_VALUE"""),"Rhode Island")</f>
        <v>Rhode Island</v>
      </c>
      <c r="F232" s="14" t="str">
        <f>IFERROR(__xludf.DUMMYFUNCTION("""COMPUTED_VALUE"""),"East")</f>
        <v>East</v>
      </c>
      <c r="G232" s="14">
        <f>IFERROR(__xludf.DUMMYFUNCTION("""COMPUTED_VALUE"""),52.96)</f>
        <v>52.96</v>
      </c>
      <c r="H232" s="14">
        <f>IFERROR(__xludf.DUMMYFUNCTION("""COMPUTED_VALUE"""),2.0)</f>
        <v>2</v>
      </c>
      <c r="I232" s="14">
        <f>IFERROR(__xludf.DUMMYFUNCTION("""COMPUTED_VALUE"""),20.1248)</f>
        <v>20.1248</v>
      </c>
      <c r="J232" s="3"/>
      <c r="K232" s="21"/>
      <c r="L232" s="21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>
      <c r="A233" s="12"/>
      <c r="B233" s="14" t="str">
        <f>IFERROR(__xludf.DUMMYFUNCTION("""COMPUTED_VALUE"""),"CA-2014-137589")</f>
        <v>CA-2014-137589</v>
      </c>
      <c r="C233" s="22">
        <f>IFERROR(__xludf.DUMMYFUNCTION("""COMPUTED_VALUE"""),41946.0)</f>
        <v>41946</v>
      </c>
      <c r="D233" s="14" t="str">
        <f>IFERROR(__xludf.DUMMYFUNCTION("""COMPUTED_VALUE"""),"Consumer")</f>
        <v>Consumer</v>
      </c>
      <c r="E233" s="14" t="str">
        <f>IFERROR(__xludf.DUMMYFUNCTION("""COMPUTED_VALUE"""),"Pennsylvania")</f>
        <v>Pennsylvania</v>
      </c>
      <c r="F233" s="14" t="str">
        <f>IFERROR(__xludf.DUMMYFUNCTION("""COMPUTED_VALUE"""),"East")</f>
        <v>East</v>
      </c>
      <c r="G233" s="14">
        <f>IFERROR(__xludf.DUMMYFUNCTION("""COMPUTED_VALUE"""),286.344)</f>
        <v>286.344</v>
      </c>
      <c r="H233" s="14">
        <f>IFERROR(__xludf.DUMMYFUNCTION("""COMPUTED_VALUE"""),3.0)</f>
        <v>3</v>
      </c>
      <c r="I233" s="14">
        <f>IFERROR(__xludf.DUMMYFUNCTION("""COMPUTED_VALUE"""),-64.4274)</f>
        <v>-64.4274</v>
      </c>
      <c r="J233" s="3"/>
      <c r="K233" s="21"/>
      <c r="L233" s="21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>
      <c r="A234" s="12"/>
      <c r="B234" s="14" t="str">
        <f>IFERROR(__xludf.DUMMYFUNCTION("""COMPUTED_VALUE"""),"CA-2014-154963")</f>
        <v>CA-2014-154963</v>
      </c>
      <c r="C234" s="22">
        <f>IFERROR(__xludf.DUMMYFUNCTION("""COMPUTED_VALUE"""),41812.0)</f>
        <v>41812</v>
      </c>
      <c r="D234" s="14" t="str">
        <f>IFERROR(__xludf.DUMMYFUNCTION("""COMPUTED_VALUE"""),"Consumer")</f>
        <v>Consumer</v>
      </c>
      <c r="E234" s="14" t="str">
        <f>IFERROR(__xludf.DUMMYFUNCTION("""COMPUTED_VALUE"""),"Pennsylvania")</f>
        <v>Pennsylvania</v>
      </c>
      <c r="F234" s="14" t="str">
        <f>IFERROR(__xludf.DUMMYFUNCTION("""COMPUTED_VALUE"""),"East")</f>
        <v>East</v>
      </c>
      <c r="G234" s="14">
        <f>IFERROR(__xludf.DUMMYFUNCTION("""COMPUTED_VALUE"""),170.058)</f>
        <v>170.058</v>
      </c>
      <c r="H234" s="14">
        <f>IFERROR(__xludf.DUMMYFUNCTION("""COMPUTED_VALUE"""),3.0)</f>
        <v>3</v>
      </c>
      <c r="I234" s="14">
        <f>IFERROR(__xludf.DUMMYFUNCTION("""COMPUTED_VALUE"""),-4.8588)</f>
        <v>-4.8588</v>
      </c>
      <c r="J234" s="3"/>
      <c r="K234" s="21"/>
      <c r="L234" s="21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>
      <c r="A235" s="12"/>
      <c r="B235" s="14" t="str">
        <f>IFERROR(__xludf.DUMMYFUNCTION("""COMPUTED_VALUE"""),"CA-2014-163034")</f>
        <v>CA-2014-163034</v>
      </c>
      <c r="C235" s="23">
        <f>IFERROR(__xludf.DUMMYFUNCTION("""COMPUTED_VALUE"""),41967.0)</f>
        <v>41967</v>
      </c>
      <c r="D235" s="14" t="str">
        <f>IFERROR(__xludf.DUMMYFUNCTION("""COMPUTED_VALUE"""),"Consumer")</f>
        <v>Consumer</v>
      </c>
      <c r="E235" s="14" t="str">
        <f>IFERROR(__xludf.DUMMYFUNCTION("""COMPUTED_VALUE"""),"Illinois")</f>
        <v>Illinois</v>
      </c>
      <c r="F235" s="14" t="str">
        <f>IFERROR(__xludf.DUMMYFUNCTION("""COMPUTED_VALUE"""),"Central")</f>
        <v>Central</v>
      </c>
      <c r="G235" s="14">
        <f>IFERROR(__xludf.DUMMYFUNCTION("""COMPUTED_VALUE"""),646.2)</f>
        <v>646.2</v>
      </c>
      <c r="H235" s="14">
        <f>IFERROR(__xludf.DUMMYFUNCTION("""COMPUTED_VALUE"""),5.0)</f>
        <v>5</v>
      </c>
      <c r="I235" s="14">
        <f>IFERROR(__xludf.DUMMYFUNCTION("""COMPUTED_VALUE"""),-8.0775)</f>
        <v>-8.0775</v>
      </c>
      <c r="J235" s="3"/>
      <c r="K235" s="21"/>
      <c r="L235" s="21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>
      <c r="A236" s="12"/>
      <c r="B236" s="14" t="str">
        <f>IFERROR(__xludf.DUMMYFUNCTION("""COMPUTED_VALUE"""),"US-2014-130358")</f>
        <v>US-2014-130358</v>
      </c>
      <c r="C236" s="22">
        <f>IFERROR(__xludf.DUMMYFUNCTION("""COMPUTED_VALUE"""),41813.0)</f>
        <v>41813</v>
      </c>
      <c r="D236" s="14" t="str">
        <f>IFERROR(__xludf.DUMMYFUNCTION("""COMPUTED_VALUE"""),"Consumer")</f>
        <v>Consumer</v>
      </c>
      <c r="E236" s="14" t="str">
        <f>IFERROR(__xludf.DUMMYFUNCTION("""COMPUTED_VALUE"""),"North Carolina")</f>
        <v>North Carolina</v>
      </c>
      <c r="F236" s="14" t="str">
        <f>IFERROR(__xludf.DUMMYFUNCTION("""COMPUTED_VALUE"""),"South")</f>
        <v>South</v>
      </c>
      <c r="G236" s="14">
        <f>IFERROR(__xludf.DUMMYFUNCTION("""COMPUTED_VALUE"""),20.016)</f>
        <v>20.016</v>
      </c>
      <c r="H236" s="14">
        <f>IFERROR(__xludf.DUMMYFUNCTION("""COMPUTED_VALUE"""),9.0)</f>
        <v>9</v>
      </c>
      <c r="I236" s="14">
        <f>IFERROR(__xludf.DUMMYFUNCTION("""COMPUTED_VALUE"""),1.7514)</f>
        <v>1.7514</v>
      </c>
      <c r="J236" s="3"/>
      <c r="K236" s="21"/>
      <c r="L236" s="21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>
      <c r="A237" s="12"/>
      <c r="B237" s="14" t="str">
        <f>IFERROR(__xludf.DUMMYFUNCTION("""COMPUTED_VALUE"""),"US-2014-156559")</f>
        <v>US-2014-156559</v>
      </c>
      <c r="C237" s="22">
        <f>IFERROR(__xludf.DUMMYFUNCTION("""COMPUTED_VALUE"""),41870.0)</f>
        <v>41870</v>
      </c>
      <c r="D237" s="14" t="str">
        <f>IFERROR(__xludf.DUMMYFUNCTION("""COMPUTED_VALUE"""),"Consumer")</f>
        <v>Consumer</v>
      </c>
      <c r="E237" s="14" t="str">
        <f>IFERROR(__xludf.DUMMYFUNCTION("""COMPUTED_VALUE"""),"Arkansas")</f>
        <v>Arkansas</v>
      </c>
      <c r="F237" s="14" t="str">
        <f>IFERROR(__xludf.DUMMYFUNCTION("""COMPUTED_VALUE"""),"South")</f>
        <v>South</v>
      </c>
      <c r="G237" s="14">
        <f>IFERROR(__xludf.DUMMYFUNCTION("""COMPUTED_VALUE"""),638.82)</f>
        <v>638.82</v>
      </c>
      <c r="H237" s="14">
        <f>IFERROR(__xludf.DUMMYFUNCTION("""COMPUTED_VALUE"""),9.0)</f>
        <v>9</v>
      </c>
      <c r="I237" s="14">
        <f>IFERROR(__xludf.DUMMYFUNCTION("""COMPUTED_VALUE"""),172.4814)</f>
        <v>172.4814</v>
      </c>
      <c r="J237" s="3"/>
      <c r="K237" s="21"/>
      <c r="L237" s="21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</row>
    <row r="238">
      <c r="A238" s="12"/>
      <c r="B238" s="14" t="str">
        <f>IFERROR(__xludf.DUMMYFUNCTION("""COMPUTED_VALUE"""),"CA-2014-116904")</f>
        <v>CA-2014-116904</v>
      </c>
      <c r="C238" s="22">
        <f>IFERROR(__xludf.DUMMYFUNCTION("""COMPUTED_VALUE"""),41905.0)</f>
        <v>41905</v>
      </c>
      <c r="D238" s="14" t="str">
        <f>IFERROR(__xludf.DUMMYFUNCTION("""COMPUTED_VALUE"""),"Consumer")</f>
        <v>Consumer</v>
      </c>
      <c r="E238" s="14" t="str">
        <f>IFERROR(__xludf.DUMMYFUNCTION("""COMPUTED_VALUE"""),"Minnesota")</f>
        <v>Minnesota</v>
      </c>
      <c r="F238" s="14" t="str">
        <f>IFERROR(__xludf.DUMMYFUNCTION("""COMPUTED_VALUE"""),"Central")</f>
        <v>Central</v>
      </c>
      <c r="G238" s="14">
        <f>IFERROR(__xludf.DUMMYFUNCTION("""COMPUTED_VALUE"""),32.4)</f>
        <v>32.4</v>
      </c>
      <c r="H238" s="14">
        <f>IFERROR(__xludf.DUMMYFUNCTION("""COMPUTED_VALUE"""),5.0)</f>
        <v>5</v>
      </c>
      <c r="I238" s="14">
        <f>IFERROR(__xludf.DUMMYFUNCTION("""COMPUTED_VALUE"""),15.552)</f>
        <v>15.552</v>
      </c>
      <c r="J238" s="3"/>
      <c r="K238" s="21"/>
      <c r="L238" s="21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</row>
    <row r="239">
      <c r="A239" s="12"/>
      <c r="B239" s="14" t="str">
        <f>IFERROR(__xludf.DUMMYFUNCTION("""COMPUTED_VALUE"""),"CA-2014-127299")</f>
        <v>CA-2014-127299</v>
      </c>
      <c r="C239" s="22">
        <f>IFERROR(__xludf.DUMMYFUNCTION("""COMPUTED_VALUE"""),41901.0)</f>
        <v>41901</v>
      </c>
      <c r="D239" s="14" t="str">
        <f>IFERROR(__xludf.DUMMYFUNCTION("""COMPUTED_VALUE"""),"Consumer")</f>
        <v>Consumer</v>
      </c>
      <c r="E239" s="14" t="str">
        <f>IFERROR(__xludf.DUMMYFUNCTION("""COMPUTED_VALUE"""),"North Carolina")</f>
        <v>North Carolina</v>
      </c>
      <c r="F239" s="14" t="str">
        <f>IFERROR(__xludf.DUMMYFUNCTION("""COMPUTED_VALUE"""),"South")</f>
        <v>South</v>
      </c>
      <c r="G239" s="14">
        <f>IFERROR(__xludf.DUMMYFUNCTION("""COMPUTED_VALUE"""),67.344)</f>
        <v>67.344</v>
      </c>
      <c r="H239" s="14">
        <f>IFERROR(__xludf.DUMMYFUNCTION("""COMPUTED_VALUE"""),6.0)</f>
        <v>6</v>
      </c>
      <c r="I239" s="14">
        <f>IFERROR(__xludf.DUMMYFUNCTION("""COMPUTED_VALUE"""),7.5762)</f>
        <v>7.5762</v>
      </c>
      <c r="J239" s="3"/>
      <c r="K239" s="21"/>
      <c r="L239" s="21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>
      <c r="A240" s="12"/>
      <c r="B240" s="14" t="str">
        <f>IFERROR(__xludf.DUMMYFUNCTION("""COMPUTED_VALUE"""),"CA-2014-128839")</f>
        <v>CA-2014-128839</v>
      </c>
      <c r="C240" s="22">
        <f>IFERROR(__xludf.DUMMYFUNCTION("""COMPUTED_VALUE"""),41890.0)</f>
        <v>41890</v>
      </c>
      <c r="D240" s="14" t="str">
        <f>IFERROR(__xludf.DUMMYFUNCTION("""COMPUTED_VALUE"""),"Consumer")</f>
        <v>Consumer</v>
      </c>
      <c r="E240" s="14" t="str">
        <f>IFERROR(__xludf.DUMMYFUNCTION("""COMPUTED_VALUE"""),"Virginia")</f>
        <v>Virginia</v>
      </c>
      <c r="F240" s="14" t="str">
        <f>IFERROR(__xludf.DUMMYFUNCTION("""COMPUTED_VALUE"""),"South")</f>
        <v>South</v>
      </c>
      <c r="G240" s="14">
        <f>IFERROR(__xludf.DUMMYFUNCTION("""COMPUTED_VALUE"""),45.0)</f>
        <v>45</v>
      </c>
      <c r="H240" s="14">
        <f>IFERROR(__xludf.DUMMYFUNCTION("""COMPUTED_VALUE"""),9.0)</f>
        <v>9</v>
      </c>
      <c r="I240" s="14">
        <f>IFERROR(__xludf.DUMMYFUNCTION("""COMPUTED_VALUE"""),21.6)</f>
        <v>21.6</v>
      </c>
      <c r="J240" s="3"/>
      <c r="K240" s="21"/>
      <c r="L240" s="21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>
      <c r="A241" s="12"/>
      <c r="B241" s="14" t="str">
        <f>IFERROR(__xludf.DUMMYFUNCTION("""COMPUTED_VALUE"""),"US-2014-107699")</f>
        <v>US-2014-107699</v>
      </c>
      <c r="C241" s="22">
        <f>IFERROR(__xludf.DUMMYFUNCTION("""COMPUTED_VALUE"""),41778.0)</f>
        <v>41778</v>
      </c>
      <c r="D241" s="14" t="str">
        <f>IFERROR(__xludf.DUMMYFUNCTION("""COMPUTED_VALUE"""),"Consumer")</f>
        <v>Consumer</v>
      </c>
      <c r="E241" s="14" t="str">
        <f>IFERROR(__xludf.DUMMYFUNCTION("""COMPUTED_VALUE"""),"Michigan")</f>
        <v>Michigan</v>
      </c>
      <c r="F241" s="14" t="str">
        <f>IFERROR(__xludf.DUMMYFUNCTION("""COMPUTED_VALUE"""),"Central")</f>
        <v>Central</v>
      </c>
      <c r="G241" s="14">
        <f>IFERROR(__xludf.DUMMYFUNCTION("""COMPUTED_VALUE"""),57.42)</f>
        <v>57.42</v>
      </c>
      <c r="H241" s="14">
        <f>IFERROR(__xludf.DUMMYFUNCTION("""COMPUTED_VALUE"""),9.0)</f>
        <v>9</v>
      </c>
      <c r="I241" s="14">
        <f>IFERROR(__xludf.DUMMYFUNCTION("""COMPUTED_VALUE"""),26.4132)</f>
        <v>26.4132</v>
      </c>
      <c r="J241" s="3"/>
      <c r="K241" s="21"/>
      <c r="L241" s="21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</row>
    <row r="242">
      <c r="A242" s="12"/>
      <c r="B242" s="14" t="str">
        <f>IFERROR(__xludf.DUMMYFUNCTION("""COMPUTED_VALUE"""),"CA-2014-157924")</f>
        <v>CA-2014-157924</v>
      </c>
      <c r="C242" s="23">
        <f>IFERROR(__xludf.DUMMYFUNCTION("""COMPUTED_VALUE"""),41923.0)</f>
        <v>41923</v>
      </c>
      <c r="D242" s="14" t="str">
        <f>IFERROR(__xludf.DUMMYFUNCTION("""COMPUTED_VALUE"""),"Consumer")</f>
        <v>Consumer</v>
      </c>
      <c r="E242" s="14" t="str">
        <f>IFERROR(__xludf.DUMMYFUNCTION("""COMPUTED_VALUE"""),"California")</f>
        <v>California</v>
      </c>
      <c r="F242" s="14" t="str">
        <f>IFERROR(__xludf.DUMMYFUNCTION("""COMPUTED_VALUE"""),"West")</f>
        <v>West</v>
      </c>
      <c r="G242" s="14">
        <f>IFERROR(__xludf.DUMMYFUNCTION("""COMPUTED_VALUE"""),31.92)</f>
        <v>31.92</v>
      </c>
      <c r="H242" s="14">
        <f>IFERROR(__xludf.DUMMYFUNCTION("""COMPUTED_VALUE"""),4.0)</f>
        <v>4</v>
      </c>
      <c r="I242" s="14">
        <f>IFERROR(__xludf.DUMMYFUNCTION("""COMPUTED_VALUE"""),8.2992)</f>
        <v>8.2992</v>
      </c>
      <c r="J242" s="3"/>
      <c r="K242" s="21"/>
      <c r="L242" s="21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</row>
    <row r="243">
      <c r="A243" s="12"/>
      <c r="B243" s="14" t="str">
        <f>IFERROR(__xludf.DUMMYFUNCTION("""COMPUTED_VALUE"""),"CA-2014-145387")</f>
        <v>CA-2014-145387</v>
      </c>
      <c r="C243" s="23">
        <f>IFERROR(__xludf.DUMMYFUNCTION("""COMPUTED_VALUE"""),41943.0)</f>
        <v>41943</v>
      </c>
      <c r="D243" s="14" t="str">
        <f>IFERROR(__xludf.DUMMYFUNCTION("""COMPUTED_VALUE"""),"Consumer")</f>
        <v>Consumer</v>
      </c>
      <c r="E243" s="14" t="str">
        <f>IFERROR(__xludf.DUMMYFUNCTION("""COMPUTED_VALUE"""),"Rhode Island")</f>
        <v>Rhode Island</v>
      </c>
      <c r="F243" s="14" t="str">
        <f>IFERROR(__xludf.DUMMYFUNCTION("""COMPUTED_VALUE"""),"East")</f>
        <v>East</v>
      </c>
      <c r="G243" s="14">
        <f>IFERROR(__xludf.DUMMYFUNCTION("""COMPUTED_VALUE"""),49.25)</f>
        <v>49.25</v>
      </c>
      <c r="H243" s="14">
        <f>IFERROR(__xludf.DUMMYFUNCTION("""COMPUTED_VALUE"""),5.0)</f>
        <v>5</v>
      </c>
      <c r="I243" s="14">
        <f>IFERROR(__xludf.DUMMYFUNCTION("""COMPUTED_VALUE"""),18.715)</f>
        <v>18.715</v>
      </c>
      <c r="J243" s="3"/>
      <c r="K243" s="21"/>
      <c r="L243" s="21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</row>
    <row r="244">
      <c r="A244" s="12"/>
      <c r="B244" s="14" t="str">
        <f>IFERROR(__xludf.DUMMYFUNCTION("""COMPUTED_VALUE"""),"CA-2014-166457")</f>
        <v>CA-2014-166457</v>
      </c>
      <c r="C244" s="22">
        <f>IFERROR(__xludf.DUMMYFUNCTION("""COMPUTED_VALUE"""),41764.0)</f>
        <v>41764</v>
      </c>
      <c r="D244" s="14" t="str">
        <f>IFERROR(__xludf.DUMMYFUNCTION("""COMPUTED_VALUE"""),"Consumer")</f>
        <v>Consumer</v>
      </c>
      <c r="E244" s="14" t="str">
        <f>IFERROR(__xludf.DUMMYFUNCTION("""COMPUTED_VALUE"""),"Kentucky")</f>
        <v>Kentucky</v>
      </c>
      <c r="F244" s="14" t="str">
        <f>IFERROR(__xludf.DUMMYFUNCTION("""COMPUTED_VALUE"""),"South")</f>
        <v>South</v>
      </c>
      <c r="G244" s="14">
        <f>IFERROR(__xludf.DUMMYFUNCTION("""COMPUTED_VALUE"""),9.42)</f>
        <v>9.42</v>
      </c>
      <c r="H244" s="14">
        <f>IFERROR(__xludf.DUMMYFUNCTION("""COMPUTED_VALUE"""),3.0)</f>
        <v>3</v>
      </c>
      <c r="I244" s="14">
        <f>IFERROR(__xludf.DUMMYFUNCTION("""COMPUTED_VALUE"""),4.239)</f>
        <v>4.239</v>
      </c>
      <c r="J244" s="3"/>
      <c r="K244" s="21"/>
      <c r="L244" s="21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</row>
    <row r="245">
      <c r="A245" s="12"/>
      <c r="B245" s="14" t="str">
        <f>IFERROR(__xludf.DUMMYFUNCTION("""COMPUTED_VALUE"""),"CA-2014-103590")</f>
        <v>CA-2014-103590</v>
      </c>
      <c r="C245" s="23">
        <f>IFERROR(__xludf.DUMMYFUNCTION("""COMPUTED_VALUE"""),41973.0)</f>
        <v>41973</v>
      </c>
      <c r="D245" s="14" t="str">
        <f>IFERROR(__xludf.DUMMYFUNCTION("""COMPUTED_VALUE"""),"Consumer")</f>
        <v>Consumer</v>
      </c>
      <c r="E245" s="14" t="str">
        <f>IFERROR(__xludf.DUMMYFUNCTION("""COMPUTED_VALUE"""),"New York")</f>
        <v>New York</v>
      </c>
      <c r="F245" s="14" t="str">
        <f>IFERROR(__xludf.DUMMYFUNCTION("""COMPUTED_VALUE"""),"East")</f>
        <v>East</v>
      </c>
      <c r="G245" s="14">
        <f>IFERROR(__xludf.DUMMYFUNCTION("""COMPUTED_VALUE"""),62.28)</f>
        <v>62.28</v>
      </c>
      <c r="H245" s="14">
        <f>IFERROR(__xludf.DUMMYFUNCTION("""COMPUTED_VALUE"""),4.0)</f>
        <v>4</v>
      </c>
      <c r="I245" s="14">
        <f>IFERROR(__xludf.DUMMYFUNCTION("""COMPUTED_VALUE"""),29.2716)</f>
        <v>29.2716</v>
      </c>
      <c r="J245" s="3"/>
      <c r="K245" s="21"/>
      <c r="L245" s="21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</row>
    <row r="246">
      <c r="A246" s="12"/>
      <c r="B246" s="14" t="str">
        <f>IFERROR(__xludf.DUMMYFUNCTION("""COMPUTED_VALUE"""),"CA-2014-103100")</f>
        <v>CA-2014-103100</v>
      </c>
      <c r="C246" s="23">
        <f>IFERROR(__xludf.DUMMYFUNCTION("""COMPUTED_VALUE"""),41993.0)</f>
        <v>41993</v>
      </c>
      <c r="D246" s="14" t="str">
        <f>IFERROR(__xludf.DUMMYFUNCTION("""COMPUTED_VALUE"""),"Consumer")</f>
        <v>Consumer</v>
      </c>
      <c r="E246" s="14" t="str">
        <f>IFERROR(__xludf.DUMMYFUNCTION("""COMPUTED_VALUE"""),"Indiana")</f>
        <v>Indiana</v>
      </c>
      <c r="F246" s="14" t="str">
        <f>IFERROR(__xludf.DUMMYFUNCTION("""COMPUTED_VALUE"""),"Central")</f>
        <v>Central</v>
      </c>
      <c r="G246" s="14">
        <f>IFERROR(__xludf.DUMMYFUNCTION("""COMPUTED_VALUE"""),3.69)</f>
        <v>3.69</v>
      </c>
      <c r="H246" s="14">
        <f>IFERROR(__xludf.DUMMYFUNCTION("""COMPUTED_VALUE"""),1.0)</f>
        <v>1</v>
      </c>
      <c r="I246" s="14">
        <f>IFERROR(__xludf.DUMMYFUNCTION("""COMPUTED_VALUE"""),1.7343)</f>
        <v>1.7343</v>
      </c>
      <c r="J246" s="3"/>
      <c r="K246" s="21"/>
      <c r="L246" s="21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</row>
    <row r="247">
      <c r="A247" s="12"/>
      <c r="B247" s="14" t="str">
        <f>IFERROR(__xludf.DUMMYFUNCTION("""COMPUTED_VALUE"""),"CA-2014-162278")</f>
        <v>CA-2014-162278</v>
      </c>
      <c r="C247" s="23">
        <f>IFERROR(__xludf.DUMMYFUNCTION("""COMPUTED_VALUE"""),41938.0)</f>
        <v>41938</v>
      </c>
      <c r="D247" s="14" t="str">
        <f>IFERROR(__xludf.DUMMYFUNCTION("""COMPUTED_VALUE"""),"Consumer")</f>
        <v>Consumer</v>
      </c>
      <c r="E247" s="14" t="str">
        <f>IFERROR(__xludf.DUMMYFUNCTION("""COMPUTED_VALUE"""),"Washington")</f>
        <v>Washington</v>
      </c>
      <c r="F247" s="14" t="str">
        <f>IFERROR(__xludf.DUMMYFUNCTION("""COMPUTED_VALUE"""),"West")</f>
        <v>West</v>
      </c>
      <c r="G247" s="14">
        <f>IFERROR(__xludf.DUMMYFUNCTION("""COMPUTED_VALUE"""),63.92)</f>
        <v>63.92</v>
      </c>
      <c r="H247" s="14">
        <f>IFERROR(__xludf.DUMMYFUNCTION("""COMPUTED_VALUE"""),4.0)</f>
        <v>4</v>
      </c>
      <c r="I247" s="14">
        <f>IFERROR(__xludf.DUMMYFUNCTION("""COMPUTED_VALUE"""),3.196)</f>
        <v>3.196</v>
      </c>
      <c r="J247" s="3"/>
      <c r="K247" s="21"/>
      <c r="L247" s="21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</row>
    <row r="248">
      <c r="A248" s="12"/>
      <c r="B248" s="14" t="str">
        <f>IFERROR(__xludf.DUMMYFUNCTION("""COMPUTED_VALUE"""),"CA-2014-125829")</f>
        <v>CA-2014-125829</v>
      </c>
      <c r="C248" s="22">
        <f>IFERROR(__xludf.DUMMYFUNCTION("""COMPUTED_VALUE"""),41947.0)</f>
        <v>41947</v>
      </c>
      <c r="D248" s="14" t="str">
        <f>IFERROR(__xludf.DUMMYFUNCTION("""COMPUTED_VALUE"""),"Consumer")</f>
        <v>Consumer</v>
      </c>
      <c r="E248" s="14" t="str">
        <f>IFERROR(__xludf.DUMMYFUNCTION("""COMPUTED_VALUE"""),"California")</f>
        <v>California</v>
      </c>
      <c r="F248" s="14" t="str">
        <f>IFERROR(__xludf.DUMMYFUNCTION("""COMPUTED_VALUE"""),"West")</f>
        <v>West</v>
      </c>
      <c r="G248" s="14">
        <f>IFERROR(__xludf.DUMMYFUNCTION("""COMPUTED_VALUE"""),666.344)</f>
        <v>666.344</v>
      </c>
      <c r="H248" s="14">
        <f>IFERROR(__xludf.DUMMYFUNCTION("""COMPUTED_VALUE"""),7.0)</f>
        <v>7</v>
      </c>
      <c r="I248" s="14">
        <f>IFERROR(__xludf.DUMMYFUNCTION("""COMPUTED_VALUE"""),66.6344)</f>
        <v>66.6344</v>
      </c>
      <c r="J248" s="3"/>
      <c r="K248" s="21"/>
      <c r="L248" s="21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</row>
    <row r="249">
      <c r="A249" s="12"/>
      <c r="B249" s="14" t="str">
        <f>IFERROR(__xludf.DUMMYFUNCTION("""COMPUTED_VALUE"""),"CA-2014-152345")</f>
        <v>CA-2014-152345</v>
      </c>
      <c r="C249" s="23">
        <f>IFERROR(__xludf.DUMMYFUNCTION("""COMPUTED_VALUE"""),42002.0)</f>
        <v>42002</v>
      </c>
      <c r="D249" s="14" t="str">
        <f>IFERROR(__xludf.DUMMYFUNCTION("""COMPUTED_VALUE"""),"Consumer")</f>
        <v>Consumer</v>
      </c>
      <c r="E249" s="14" t="str">
        <f>IFERROR(__xludf.DUMMYFUNCTION("""COMPUTED_VALUE"""),"New Mexico")</f>
        <v>New Mexico</v>
      </c>
      <c r="F249" s="14" t="str">
        <f>IFERROR(__xludf.DUMMYFUNCTION("""COMPUTED_VALUE"""),"West")</f>
        <v>West</v>
      </c>
      <c r="G249" s="14">
        <f>IFERROR(__xludf.DUMMYFUNCTION("""COMPUTED_VALUE"""),23.976)</f>
        <v>23.976</v>
      </c>
      <c r="H249" s="14">
        <f>IFERROR(__xludf.DUMMYFUNCTION("""COMPUTED_VALUE"""),3.0)</f>
        <v>3</v>
      </c>
      <c r="I249" s="14">
        <f>IFERROR(__xludf.DUMMYFUNCTION("""COMPUTED_VALUE"""),-5.6943)</f>
        <v>-5.6943</v>
      </c>
      <c r="J249" s="3"/>
      <c r="K249" s="21"/>
      <c r="L249" s="21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</row>
    <row r="250">
      <c r="A250" s="12"/>
      <c r="B250" s="14" t="str">
        <f>IFERROR(__xludf.DUMMYFUNCTION("""COMPUTED_VALUE"""),"US-2014-129609")</f>
        <v>US-2014-129609</v>
      </c>
      <c r="C250" s="22">
        <f>IFERROR(__xludf.DUMMYFUNCTION("""COMPUTED_VALUE"""),41720.0)</f>
        <v>41720</v>
      </c>
      <c r="D250" s="14" t="str">
        <f>IFERROR(__xludf.DUMMYFUNCTION("""COMPUTED_VALUE"""),"Consumer")</f>
        <v>Consumer</v>
      </c>
      <c r="E250" s="14" t="str">
        <f>IFERROR(__xludf.DUMMYFUNCTION("""COMPUTED_VALUE"""),"Indiana")</f>
        <v>Indiana</v>
      </c>
      <c r="F250" s="14" t="str">
        <f>IFERROR(__xludf.DUMMYFUNCTION("""COMPUTED_VALUE"""),"Central")</f>
        <v>Central</v>
      </c>
      <c r="G250" s="14">
        <f>IFERROR(__xludf.DUMMYFUNCTION("""COMPUTED_VALUE"""),16.28)</f>
        <v>16.28</v>
      </c>
      <c r="H250" s="14">
        <f>IFERROR(__xludf.DUMMYFUNCTION("""COMPUTED_VALUE"""),2.0)</f>
        <v>2</v>
      </c>
      <c r="I250" s="14">
        <f>IFERROR(__xludf.DUMMYFUNCTION("""COMPUTED_VALUE"""),6.512)</f>
        <v>6.512</v>
      </c>
      <c r="J250" s="3"/>
      <c r="K250" s="21"/>
      <c r="L250" s="21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</row>
    <row r="251">
      <c r="A251" s="12"/>
      <c r="B251" s="14" t="str">
        <f>IFERROR(__xludf.DUMMYFUNCTION("""COMPUTED_VALUE"""),"CA-2014-142965")</f>
        <v>CA-2014-142965</v>
      </c>
      <c r="C251" s="22">
        <f>IFERROR(__xludf.DUMMYFUNCTION("""COMPUTED_VALUE"""),41840.0)</f>
        <v>41840</v>
      </c>
      <c r="D251" s="14" t="str">
        <f>IFERROR(__xludf.DUMMYFUNCTION("""COMPUTED_VALUE"""),"Consumer")</f>
        <v>Consumer</v>
      </c>
      <c r="E251" s="14" t="str">
        <f>IFERROR(__xludf.DUMMYFUNCTION("""COMPUTED_VALUE"""),"Ohio")</f>
        <v>Ohio</v>
      </c>
      <c r="F251" s="14" t="str">
        <f>IFERROR(__xludf.DUMMYFUNCTION("""COMPUTED_VALUE"""),"East")</f>
        <v>East</v>
      </c>
      <c r="G251" s="14">
        <f>IFERROR(__xludf.DUMMYFUNCTION("""COMPUTED_VALUE"""),25.984)</f>
        <v>25.984</v>
      </c>
      <c r="H251" s="14">
        <f>IFERROR(__xludf.DUMMYFUNCTION("""COMPUTED_VALUE"""),1.0)</f>
        <v>1</v>
      </c>
      <c r="I251" s="14">
        <f>IFERROR(__xludf.DUMMYFUNCTION("""COMPUTED_VALUE"""),-5.1968)</f>
        <v>-5.1968</v>
      </c>
      <c r="J251" s="3"/>
      <c r="K251" s="21"/>
      <c r="L251" s="21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</row>
    <row r="252">
      <c r="A252" s="12"/>
      <c r="B252" s="14" t="str">
        <f>IFERROR(__xludf.DUMMYFUNCTION("""COMPUTED_VALUE"""),"US-2014-138758")</f>
        <v>US-2014-138758</v>
      </c>
      <c r="C252" s="22">
        <f>IFERROR(__xludf.DUMMYFUNCTION("""COMPUTED_VALUE"""),41827.0)</f>
        <v>41827</v>
      </c>
      <c r="D252" s="14" t="str">
        <f>IFERROR(__xludf.DUMMYFUNCTION("""COMPUTED_VALUE"""),"Consumer")</f>
        <v>Consumer</v>
      </c>
      <c r="E252" s="14" t="str">
        <f>IFERROR(__xludf.DUMMYFUNCTION("""COMPUTED_VALUE"""),"Pennsylvania")</f>
        <v>Pennsylvania</v>
      </c>
      <c r="F252" s="14" t="str">
        <f>IFERROR(__xludf.DUMMYFUNCTION("""COMPUTED_VALUE"""),"East")</f>
        <v>East</v>
      </c>
      <c r="G252" s="14">
        <f>IFERROR(__xludf.DUMMYFUNCTION("""COMPUTED_VALUE"""),172.186)</f>
        <v>172.186</v>
      </c>
      <c r="H252" s="14">
        <f>IFERROR(__xludf.DUMMYFUNCTION("""COMPUTED_VALUE"""),2.0)</f>
        <v>2</v>
      </c>
      <c r="I252" s="14">
        <f>IFERROR(__xludf.DUMMYFUNCTION("""COMPUTED_VALUE"""),-46.7362)</f>
        <v>-46.7362</v>
      </c>
      <c r="J252" s="3"/>
      <c r="K252" s="21"/>
      <c r="L252" s="21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</row>
    <row r="253">
      <c r="A253" s="12"/>
      <c r="B253" s="14" t="str">
        <f>IFERROR(__xludf.DUMMYFUNCTION("""COMPUTED_VALUE"""),"CA-2014-127936")</f>
        <v>CA-2014-127936</v>
      </c>
      <c r="C253" s="22">
        <f>IFERROR(__xludf.DUMMYFUNCTION("""COMPUTED_VALUE"""),41884.0)</f>
        <v>41884</v>
      </c>
      <c r="D253" s="14" t="str">
        <f>IFERROR(__xludf.DUMMYFUNCTION("""COMPUTED_VALUE"""),"Consumer")</f>
        <v>Consumer</v>
      </c>
      <c r="E253" s="14" t="str">
        <f>IFERROR(__xludf.DUMMYFUNCTION("""COMPUTED_VALUE"""),"New York")</f>
        <v>New York</v>
      </c>
      <c r="F253" s="14" t="str">
        <f>IFERROR(__xludf.DUMMYFUNCTION("""COMPUTED_VALUE"""),"East")</f>
        <v>East</v>
      </c>
      <c r="G253" s="14">
        <f>IFERROR(__xludf.DUMMYFUNCTION("""COMPUTED_VALUE"""),21.24)</f>
        <v>21.24</v>
      </c>
      <c r="H253" s="14">
        <f>IFERROR(__xludf.DUMMYFUNCTION("""COMPUTED_VALUE"""),3.0)</f>
        <v>3</v>
      </c>
      <c r="I253" s="14">
        <f>IFERROR(__xludf.DUMMYFUNCTION("""COMPUTED_VALUE"""),8.0712)</f>
        <v>8.0712</v>
      </c>
      <c r="J253" s="3"/>
      <c r="K253" s="21"/>
      <c r="L253" s="21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</row>
    <row r="254">
      <c r="A254" s="12"/>
      <c r="B254" s="14" t="str">
        <f>IFERROR(__xludf.DUMMYFUNCTION("""COMPUTED_VALUE"""),"CA-2014-130624")</f>
        <v>CA-2014-130624</v>
      </c>
      <c r="C254" s="22">
        <f>IFERROR(__xludf.DUMMYFUNCTION("""COMPUTED_VALUE"""),41811.0)</f>
        <v>41811</v>
      </c>
      <c r="D254" s="14" t="str">
        <f>IFERROR(__xludf.DUMMYFUNCTION("""COMPUTED_VALUE"""),"Consumer")</f>
        <v>Consumer</v>
      </c>
      <c r="E254" s="14" t="str">
        <f>IFERROR(__xludf.DUMMYFUNCTION("""COMPUTED_VALUE"""),"New York")</f>
        <v>New York</v>
      </c>
      <c r="F254" s="14" t="str">
        <f>IFERROR(__xludf.DUMMYFUNCTION("""COMPUTED_VALUE"""),"East")</f>
        <v>East</v>
      </c>
      <c r="G254" s="14">
        <f>IFERROR(__xludf.DUMMYFUNCTION("""COMPUTED_VALUE"""),19.65)</f>
        <v>19.65</v>
      </c>
      <c r="H254" s="14">
        <f>IFERROR(__xludf.DUMMYFUNCTION("""COMPUTED_VALUE"""),3.0)</f>
        <v>3</v>
      </c>
      <c r="I254" s="14">
        <f>IFERROR(__xludf.DUMMYFUNCTION("""COMPUTED_VALUE"""),9.039)</f>
        <v>9.039</v>
      </c>
      <c r="J254" s="3"/>
      <c r="K254" s="21"/>
      <c r="L254" s="21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</row>
    <row r="255">
      <c r="A255" s="12"/>
      <c r="B255" s="14" t="str">
        <f>IFERROR(__xludf.DUMMYFUNCTION("""COMPUTED_VALUE"""),"CA-2014-153983")</f>
        <v>CA-2014-153983</v>
      </c>
      <c r="C255" s="23">
        <f>IFERROR(__xludf.DUMMYFUNCTION("""COMPUTED_VALUE"""),41972.0)</f>
        <v>41972</v>
      </c>
      <c r="D255" s="14" t="str">
        <f>IFERROR(__xludf.DUMMYFUNCTION("""COMPUTED_VALUE"""),"Consumer")</f>
        <v>Consumer</v>
      </c>
      <c r="E255" s="14" t="str">
        <f>IFERROR(__xludf.DUMMYFUNCTION("""COMPUTED_VALUE"""),"California")</f>
        <v>California</v>
      </c>
      <c r="F255" s="14" t="str">
        <f>IFERROR(__xludf.DUMMYFUNCTION("""COMPUTED_VALUE"""),"West")</f>
        <v>West</v>
      </c>
      <c r="G255" s="14">
        <f>IFERROR(__xludf.DUMMYFUNCTION("""COMPUTED_VALUE"""),575.92)</f>
        <v>575.92</v>
      </c>
      <c r="H255" s="14">
        <f>IFERROR(__xludf.DUMMYFUNCTION("""COMPUTED_VALUE"""),2.0)</f>
        <v>2</v>
      </c>
      <c r="I255" s="14">
        <f>IFERROR(__xludf.DUMMYFUNCTION("""COMPUTED_VALUE"""),71.99)</f>
        <v>71.99</v>
      </c>
      <c r="J255" s="3"/>
      <c r="K255" s="21"/>
      <c r="L255" s="21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</row>
    <row r="256">
      <c r="A256" s="12"/>
      <c r="B256" s="14" t="str">
        <f>IFERROR(__xludf.DUMMYFUNCTION("""COMPUTED_VALUE"""),"CA-2014-160157")</f>
        <v>CA-2014-160157</v>
      </c>
      <c r="C256" s="23">
        <f>IFERROR(__xludf.DUMMYFUNCTION("""COMPUTED_VALUE"""),41993.0)</f>
        <v>41993</v>
      </c>
      <c r="D256" s="14" t="str">
        <f>IFERROR(__xludf.DUMMYFUNCTION("""COMPUTED_VALUE"""),"Consumer")</f>
        <v>Consumer</v>
      </c>
      <c r="E256" s="14" t="str">
        <f>IFERROR(__xludf.DUMMYFUNCTION("""COMPUTED_VALUE"""),"Ohio")</f>
        <v>Ohio</v>
      </c>
      <c r="F256" s="14" t="str">
        <f>IFERROR(__xludf.DUMMYFUNCTION("""COMPUTED_VALUE"""),"East")</f>
        <v>East</v>
      </c>
      <c r="G256" s="14">
        <f>IFERROR(__xludf.DUMMYFUNCTION("""COMPUTED_VALUE"""),190.848)</f>
        <v>190.848</v>
      </c>
      <c r="H256" s="14">
        <f>IFERROR(__xludf.DUMMYFUNCTION("""COMPUTED_VALUE"""),3.0)</f>
        <v>3</v>
      </c>
      <c r="I256" s="14">
        <f>IFERROR(__xludf.DUMMYFUNCTION("""COMPUTED_VALUE"""),-21.4704)</f>
        <v>-21.4704</v>
      </c>
      <c r="J256" s="3"/>
      <c r="K256" s="21"/>
      <c r="L256" s="21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</row>
    <row r="257">
      <c r="A257" s="12"/>
      <c r="B257" s="14" t="str">
        <f>IFERROR(__xludf.DUMMYFUNCTION("""COMPUTED_VALUE"""),"CA-2014-139633")</f>
        <v>CA-2014-139633</v>
      </c>
      <c r="C257" s="23">
        <f>IFERROR(__xludf.DUMMYFUNCTION("""COMPUTED_VALUE"""),41990.0)</f>
        <v>41990</v>
      </c>
      <c r="D257" s="14" t="str">
        <f>IFERROR(__xludf.DUMMYFUNCTION("""COMPUTED_VALUE"""),"Consumer")</f>
        <v>Consumer</v>
      </c>
      <c r="E257" s="14" t="str">
        <f>IFERROR(__xludf.DUMMYFUNCTION("""COMPUTED_VALUE"""),"Ohio")</f>
        <v>Ohio</v>
      </c>
      <c r="F257" s="14" t="str">
        <f>IFERROR(__xludf.DUMMYFUNCTION("""COMPUTED_VALUE"""),"East")</f>
        <v>East</v>
      </c>
      <c r="G257" s="14">
        <f>IFERROR(__xludf.DUMMYFUNCTION("""COMPUTED_VALUE"""),5.484)</f>
        <v>5.484</v>
      </c>
      <c r="H257" s="14">
        <f>IFERROR(__xludf.DUMMYFUNCTION("""COMPUTED_VALUE"""),4.0)</f>
        <v>4</v>
      </c>
      <c r="I257" s="14">
        <f>IFERROR(__xludf.DUMMYFUNCTION("""COMPUTED_VALUE"""),-4.0216)</f>
        <v>-4.0216</v>
      </c>
      <c r="J257" s="3"/>
      <c r="K257" s="21"/>
      <c r="L257" s="21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</row>
    <row r="258">
      <c r="A258" s="12"/>
      <c r="B258" s="14" t="str">
        <f>IFERROR(__xludf.DUMMYFUNCTION("""COMPUTED_VALUE"""),"CA-2014-117016")</f>
        <v>CA-2014-117016</v>
      </c>
      <c r="C258" s="22">
        <f>IFERROR(__xludf.DUMMYFUNCTION("""COMPUTED_VALUE"""),41702.0)</f>
        <v>41702</v>
      </c>
      <c r="D258" s="14" t="str">
        <f>IFERROR(__xludf.DUMMYFUNCTION("""COMPUTED_VALUE"""),"Consumer")</f>
        <v>Consumer</v>
      </c>
      <c r="E258" s="14" t="str">
        <f>IFERROR(__xludf.DUMMYFUNCTION("""COMPUTED_VALUE"""),"Florida")</f>
        <v>Florida</v>
      </c>
      <c r="F258" s="14" t="str">
        <f>IFERROR(__xludf.DUMMYFUNCTION("""COMPUTED_VALUE"""),"South")</f>
        <v>South</v>
      </c>
      <c r="G258" s="14">
        <f>IFERROR(__xludf.DUMMYFUNCTION("""COMPUTED_VALUE"""),15.552)</f>
        <v>15.552</v>
      </c>
      <c r="H258" s="14">
        <f>IFERROR(__xludf.DUMMYFUNCTION("""COMPUTED_VALUE"""),3.0)</f>
        <v>3</v>
      </c>
      <c r="I258" s="14">
        <f>IFERROR(__xludf.DUMMYFUNCTION("""COMPUTED_VALUE"""),2.3328)</f>
        <v>2.3328</v>
      </c>
      <c r="J258" s="3"/>
      <c r="K258" s="21"/>
      <c r="L258" s="21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</row>
    <row r="259">
      <c r="A259" s="12"/>
      <c r="B259" s="14" t="str">
        <f>IFERROR(__xludf.DUMMYFUNCTION("""COMPUTED_VALUE"""),"CA-2014-147235")</f>
        <v>CA-2014-147235</v>
      </c>
      <c r="C259" s="22">
        <f>IFERROR(__xludf.DUMMYFUNCTION("""COMPUTED_VALUE"""),41722.0)</f>
        <v>41722</v>
      </c>
      <c r="D259" s="14" t="str">
        <f>IFERROR(__xludf.DUMMYFUNCTION("""COMPUTED_VALUE"""),"Consumer")</f>
        <v>Consumer</v>
      </c>
      <c r="E259" s="14" t="str">
        <f>IFERROR(__xludf.DUMMYFUNCTION("""COMPUTED_VALUE"""),"New York")</f>
        <v>New York</v>
      </c>
      <c r="F259" s="14" t="str">
        <f>IFERROR(__xludf.DUMMYFUNCTION("""COMPUTED_VALUE"""),"East")</f>
        <v>East</v>
      </c>
      <c r="G259" s="14">
        <f>IFERROR(__xludf.DUMMYFUNCTION("""COMPUTED_VALUE"""),24.9)</f>
        <v>24.9</v>
      </c>
      <c r="H259" s="14">
        <f>IFERROR(__xludf.DUMMYFUNCTION("""COMPUTED_VALUE"""),5.0)</f>
        <v>5</v>
      </c>
      <c r="I259" s="14">
        <f>IFERROR(__xludf.DUMMYFUNCTION("""COMPUTED_VALUE"""),11.703)</f>
        <v>11.703</v>
      </c>
      <c r="J259" s="3"/>
      <c r="K259" s="21"/>
      <c r="L259" s="21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</row>
    <row r="260">
      <c r="A260" s="12"/>
      <c r="B260" s="14" t="str">
        <f>IFERROR(__xludf.DUMMYFUNCTION("""COMPUTED_VALUE"""),"CA-2014-150798")</f>
        <v>CA-2014-150798</v>
      </c>
      <c r="C260" s="22">
        <f>IFERROR(__xludf.DUMMYFUNCTION("""COMPUTED_VALUE"""),41974.0)</f>
        <v>41974</v>
      </c>
      <c r="D260" s="14" t="str">
        <f>IFERROR(__xludf.DUMMYFUNCTION("""COMPUTED_VALUE"""),"Consumer")</f>
        <v>Consumer</v>
      </c>
      <c r="E260" s="14" t="str">
        <f>IFERROR(__xludf.DUMMYFUNCTION("""COMPUTED_VALUE"""),"Ohio")</f>
        <v>Ohio</v>
      </c>
      <c r="F260" s="14" t="str">
        <f>IFERROR(__xludf.DUMMYFUNCTION("""COMPUTED_VALUE"""),"East")</f>
        <v>East</v>
      </c>
      <c r="G260" s="14">
        <f>IFERROR(__xludf.DUMMYFUNCTION("""COMPUTED_VALUE"""),659.988)</f>
        <v>659.988</v>
      </c>
      <c r="H260" s="14">
        <f>IFERROR(__xludf.DUMMYFUNCTION("""COMPUTED_VALUE"""),2.0)</f>
        <v>2</v>
      </c>
      <c r="I260" s="14">
        <f>IFERROR(__xludf.DUMMYFUNCTION("""COMPUTED_VALUE"""),109.998)</f>
        <v>109.998</v>
      </c>
      <c r="J260" s="3"/>
      <c r="K260" s="21"/>
      <c r="L260" s="21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</row>
    <row r="261">
      <c r="A261" s="12"/>
      <c r="B261" s="14" t="str">
        <f>IFERROR(__xludf.DUMMYFUNCTION("""COMPUTED_VALUE"""),"CA-2014-107454")</f>
        <v>CA-2014-107454</v>
      </c>
      <c r="C261" s="22">
        <f>IFERROR(__xludf.DUMMYFUNCTION("""COMPUTED_VALUE"""),41945.0)</f>
        <v>41945</v>
      </c>
      <c r="D261" s="14" t="str">
        <f>IFERROR(__xludf.DUMMYFUNCTION("""COMPUTED_VALUE"""),"Consumer")</f>
        <v>Consumer</v>
      </c>
      <c r="E261" s="14" t="str">
        <f>IFERROR(__xludf.DUMMYFUNCTION("""COMPUTED_VALUE"""),"New York")</f>
        <v>New York</v>
      </c>
      <c r="F261" s="14" t="str">
        <f>IFERROR(__xludf.DUMMYFUNCTION("""COMPUTED_VALUE"""),"East")</f>
        <v>East</v>
      </c>
      <c r="G261" s="14">
        <f>IFERROR(__xludf.DUMMYFUNCTION("""COMPUTED_VALUE"""),34.86)</f>
        <v>34.86</v>
      </c>
      <c r="H261" s="14">
        <f>IFERROR(__xludf.DUMMYFUNCTION("""COMPUTED_VALUE"""),7.0)</f>
        <v>7</v>
      </c>
      <c r="I261" s="14">
        <f>IFERROR(__xludf.DUMMYFUNCTION("""COMPUTED_VALUE"""),16.0356)</f>
        <v>16.0356</v>
      </c>
      <c r="J261" s="3"/>
      <c r="K261" s="21"/>
      <c r="L261" s="21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</row>
    <row r="262">
      <c r="A262" s="12"/>
      <c r="B262" s="14" t="str">
        <f>IFERROR(__xludf.DUMMYFUNCTION("""COMPUTED_VALUE"""),"US-2014-106334")</f>
        <v>US-2014-106334</v>
      </c>
      <c r="C262" s="23">
        <f>IFERROR(__xludf.DUMMYFUNCTION("""COMPUTED_VALUE"""),42000.0)</f>
        <v>42000</v>
      </c>
      <c r="D262" s="14" t="str">
        <f>IFERROR(__xludf.DUMMYFUNCTION("""COMPUTED_VALUE"""),"Consumer")</f>
        <v>Consumer</v>
      </c>
      <c r="E262" s="14" t="str">
        <f>IFERROR(__xludf.DUMMYFUNCTION("""COMPUTED_VALUE"""),"California")</f>
        <v>California</v>
      </c>
      <c r="F262" s="14" t="str">
        <f>IFERROR(__xludf.DUMMYFUNCTION("""COMPUTED_VALUE"""),"West")</f>
        <v>West</v>
      </c>
      <c r="G262" s="14">
        <f>IFERROR(__xludf.DUMMYFUNCTION("""COMPUTED_VALUE"""),230.28)</f>
        <v>230.28</v>
      </c>
      <c r="H262" s="14">
        <f>IFERROR(__xludf.DUMMYFUNCTION("""COMPUTED_VALUE"""),3.0)</f>
        <v>3</v>
      </c>
      <c r="I262" s="14">
        <f>IFERROR(__xludf.DUMMYFUNCTION("""COMPUTED_VALUE"""),23.028)</f>
        <v>23.028</v>
      </c>
      <c r="J262" s="3"/>
      <c r="K262" s="21"/>
      <c r="L262" s="21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</row>
    <row r="263">
      <c r="A263" s="12"/>
      <c r="B263" s="14" t="str">
        <f>IFERROR(__xludf.DUMMYFUNCTION("""COMPUTED_VALUE"""),"CA-2014-110219")</f>
        <v>CA-2014-110219</v>
      </c>
      <c r="C263" s="22">
        <f>IFERROR(__xludf.DUMMYFUNCTION("""COMPUTED_VALUE"""),41764.0)</f>
        <v>41764</v>
      </c>
      <c r="D263" s="14" t="str">
        <f>IFERROR(__xludf.DUMMYFUNCTION("""COMPUTED_VALUE"""),"Consumer")</f>
        <v>Consumer</v>
      </c>
      <c r="E263" s="14" t="str">
        <f>IFERROR(__xludf.DUMMYFUNCTION("""COMPUTED_VALUE"""),"Texas")</f>
        <v>Texas</v>
      </c>
      <c r="F263" s="14" t="str">
        <f>IFERROR(__xludf.DUMMYFUNCTION("""COMPUTED_VALUE"""),"Central")</f>
        <v>Central</v>
      </c>
      <c r="G263" s="14">
        <f>IFERROR(__xludf.DUMMYFUNCTION("""COMPUTED_VALUE"""),127.869)</f>
        <v>127.869</v>
      </c>
      <c r="H263" s="14">
        <f>IFERROR(__xludf.DUMMYFUNCTION("""COMPUTED_VALUE"""),3.0)</f>
        <v>3</v>
      </c>
      <c r="I263" s="14">
        <f>IFERROR(__xludf.DUMMYFUNCTION("""COMPUTED_VALUE"""),-9.1335)</f>
        <v>-9.1335</v>
      </c>
      <c r="J263" s="3"/>
      <c r="K263" s="21"/>
      <c r="L263" s="21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</row>
    <row r="264">
      <c r="A264" s="12"/>
      <c r="B264" s="14" t="str">
        <f>IFERROR(__xludf.DUMMYFUNCTION("""COMPUTED_VALUE"""),"US-2014-121734")</f>
        <v>US-2014-121734</v>
      </c>
      <c r="C264" s="22">
        <f>IFERROR(__xludf.DUMMYFUNCTION("""COMPUTED_VALUE"""),41740.0)</f>
        <v>41740</v>
      </c>
      <c r="D264" s="14" t="str">
        <f>IFERROR(__xludf.DUMMYFUNCTION("""COMPUTED_VALUE"""),"Consumer")</f>
        <v>Consumer</v>
      </c>
      <c r="E264" s="14" t="str">
        <f>IFERROR(__xludf.DUMMYFUNCTION("""COMPUTED_VALUE"""),"Idaho")</f>
        <v>Idaho</v>
      </c>
      <c r="F264" s="14" t="str">
        <f>IFERROR(__xludf.DUMMYFUNCTION("""COMPUTED_VALUE"""),"West")</f>
        <v>West</v>
      </c>
      <c r="G264" s="14">
        <f>IFERROR(__xludf.DUMMYFUNCTION("""COMPUTED_VALUE"""),9.584)</f>
        <v>9.584</v>
      </c>
      <c r="H264" s="14">
        <f>IFERROR(__xludf.DUMMYFUNCTION("""COMPUTED_VALUE"""),1.0)</f>
        <v>1</v>
      </c>
      <c r="I264" s="14">
        <f>IFERROR(__xludf.DUMMYFUNCTION("""COMPUTED_VALUE"""),3.3544)</f>
        <v>3.3544</v>
      </c>
      <c r="J264" s="3"/>
      <c r="K264" s="21"/>
      <c r="L264" s="21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</row>
    <row r="265">
      <c r="A265" s="12"/>
      <c r="B265" s="14" t="str">
        <f>IFERROR(__xludf.DUMMYFUNCTION("""COMPUTED_VALUE"""),"CA-2014-114510")</f>
        <v>CA-2014-114510</v>
      </c>
      <c r="C265" s="22">
        <f>IFERROR(__xludf.DUMMYFUNCTION("""COMPUTED_VALUE"""),41712.0)</f>
        <v>41712</v>
      </c>
      <c r="D265" s="14" t="str">
        <f>IFERROR(__xludf.DUMMYFUNCTION("""COMPUTED_VALUE"""),"Consumer")</f>
        <v>Consumer</v>
      </c>
      <c r="E265" s="14" t="str">
        <f>IFERROR(__xludf.DUMMYFUNCTION("""COMPUTED_VALUE"""),"Utah")</f>
        <v>Utah</v>
      </c>
      <c r="F265" s="14" t="str">
        <f>IFERROR(__xludf.DUMMYFUNCTION("""COMPUTED_VALUE"""),"West")</f>
        <v>West</v>
      </c>
      <c r="G265" s="14">
        <f>IFERROR(__xludf.DUMMYFUNCTION("""COMPUTED_VALUE"""),33.088)</f>
        <v>33.088</v>
      </c>
      <c r="H265" s="14">
        <f>IFERROR(__xludf.DUMMYFUNCTION("""COMPUTED_VALUE"""),4.0)</f>
        <v>4</v>
      </c>
      <c r="I265" s="14">
        <f>IFERROR(__xludf.DUMMYFUNCTION("""COMPUTED_VALUE"""),11.1672)</f>
        <v>11.1672</v>
      </c>
      <c r="J265" s="3"/>
      <c r="K265" s="21"/>
      <c r="L265" s="21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</row>
    <row r="266">
      <c r="A266" s="12"/>
      <c r="B266" s="14" t="str">
        <f>IFERROR(__xludf.DUMMYFUNCTION("""COMPUTED_VALUE"""),"CA-2014-138681")</f>
        <v>CA-2014-138681</v>
      </c>
      <c r="C266" s="23">
        <f>IFERROR(__xludf.DUMMYFUNCTION("""COMPUTED_VALUE"""),41993.0)</f>
        <v>41993</v>
      </c>
      <c r="D266" s="14" t="str">
        <f>IFERROR(__xludf.DUMMYFUNCTION("""COMPUTED_VALUE"""),"Consumer")</f>
        <v>Consumer</v>
      </c>
      <c r="E266" s="14" t="str">
        <f>IFERROR(__xludf.DUMMYFUNCTION("""COMPUTED_VALUE"""),"Arizona")</f>
        <v>Arizona</v>
      </c>
      <c r="F266" s="14" t="str">
        <f>IFERROR(__xludf.DUMMYFUNCTION("""COMPUTED_VALUE"""),"West")</f>
        <v>West</v>
      </c>
      <c r="G266" s="14">
        <f>IFERROR(__xludf.DUMMYFUNCTION("""COMPUTED_VALUE"""),51.968)</f>
        <v>51.968</v>
      </c>
      <c r="H266" s="14">
        <f>IFERROR(__xludf.DUMMYFUNCTION("""COMPUTED_VALUE"""),2.0)</f>
        <v>2</v>
      </c>
      <c r="I266" s="14">
        <f>IFERROR(__xludf.DUMMYFUNCTION("""COMPUTED_VALUE"""),10.3936)</f>
        <v>10.3936</v>
      </c>
      <c r="J266" s="3"/>
      <c r="K266" s="21"/>
      <c r="L266" s="21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</row>
    <row r="267">
      <c r="A267" s="12"/>
      <c r="B267" s="14" t="str">
        <f>IFERROR(__xludf.DUMMYFUNCTION("""COMPUTED_VALUE"""),"CA-2014-112403")</f>
        <v>CA-2014-112403</v>
      </c>
      <c r="C267" s="22">
        <f>IFERROR(__xludf.DUMMYFUNCTION("""COMPUTED_VALUE"""),41729.0)</f>
        <v>41729</v>
      </c>
      <c r="D267" s="14" t="str">
        <f>IFERROR(__xludf.DUMMYFUNCTION("""COMPUTED_VALUE"""),"Consumer")</f>
        <v>Consumer</v>
      </c>
      <c r="E267" s="14" t="str">
        <f>IFERROR(__xludf.DUMMYFUNCTION("""COMPUTED_VALUE"""),"Pennsylvania")</f>
        <v>Pennsylvania</v>
      </c>
      <c r="F267" s="14" t="str">
        <f>IFERROR(__xludf.DUMMYFUNCTION("""COMPUTED_VALUE"""),"East")</f>
        <v>East</v>
      </c>
      <c r="G267" s="14">
        <f>IFERROR(__xludf.DUMMYFUNCTION("""COMPUTED_VALUE"""),0.852)</f>
        <v>0.852</v>
      </c>
      <c r="H267" s="14">
        <f>IFERROR(__xludf.DUMMYFUNCTION("""COMPUTED_VALUE"""),1.0)</f>
        <v>1</v>
      </c>
      <c r="I267" s="14">
        <f>IFERROR(__xludf.DUMMYFUNCTION("""COMPUTED_VALUE"""),-0.5964)</f>
        <v>-0.5964</v>
      </c>
      <c r="J267" s="3"/>
      <c r="K267" s="21"/>
      <c r="L267" s="21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</row>
    <row r="268">
      <c r="A268" s="12"/>
      <c r="B268" s="14" t="str">
        <f>IFERROR(__xludf.DUMMYFUNCTION("""COMPUTED_VALUE"""),"CA-2014-108273")</f>
        <v>CA-2014-108273</v>
      </c>
      <c r="C268" s="23">
        <f>IFERROR(__xludf.DUMMYFUNCTION("""COMPUTED_VALUE"""),41989.0)</f>
        <v>41989</v>
      </c>
      <c r="D268" s="14" t="str">
        <f>IFERROR(__xludf.DUMMYFUNCTION("""COMPUTED_VALUE"""),"Consumer")</f>
        <v>Consumer</v>
      </c>
      <c r="E268" s="14" t="str">
        <f>IFERROR(__xludf.DUMMYFUNCTION("""COMPUTED_VALUE"""),"Texas")</f>
        <v>Texas</v>
      </c>
      <c r="F268" s="14" t="str">
        <f>IFERROR(__xludf.DUMMYFUNCTION("""COMPUTED_VALUE"""),"Central")</f>
        <v>Central</v>
      </c>
      <c r="G268" s="14">
        <f>IFERROR(__xludf.DUMMYFUNCTION("""COMPUTED_VALUE"""),36.288)</f>
        <v>36.288</v>
      </c>
      <c r="H268" s="14">
        <f>IFERROR(__xludf.DUMMYFUNCTION("""COMPUTED_VALUE"""),7.0)</f>
        <v>7</v>
      </c>
      <c r="I268" s="14">
        <f>IFERROR(__xludf.DUMMYFUNCTION("""COMPUTED_VALUE"""),12.7008)</f>
        <v>12.7008</v>
      </c>
      <c r="J268" s="3"/>
      <c r="K268" s="21"/>
      <c r="L268" s="21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</row>
    <row r="269">
      <c r="A269" s="12"/>
      <c r="B269" s="14" t="str">
        <f>IFERROR(__xludf.DUMMYFUNCTION("""COMPUTED_VALUE"""),"CA-2014-106229")</f>
        <v>CA-2014-106229</v>
      </c>
      <c r="C269" s="22">
        <f>IFERROR(__xludf.DUMMYFUNCTION("""COMPUTED_VALUE"""),41797.0)</f>
        <v>41797</v>
      </c>
      <c r="D269" s="14" t="str">
        <f>IFERROR(__xludf.DUMMYFUNCTION("""COMPUTED_VALUE"""),"Consumer")</f>
        <v>Consumer</v>
      </c>
      <c r="E269" s="14" t="str">
        <f>IFERROR(__xludf.DUMMYFUNCTION("""COMPUTED_VALUE"""),"Illinois")</f>
        <v>Illinois</v>
      </c>
      <c r="F269" s="14" t="str">
        <f>IFERROR(__xludf.DUMMYFUNCTION("""COMPUTED_VALUE"""),"Central")</f>
        <v>Central</v>
      </c>
      <c r="G269" s="14">
        <f>IFERROR(__xludf.DUMMYFUNCTION("""COMPUTED_VALUE"""),268.935)</f>
        <v>268.935</v>
      </c>
      <c r="H269" s="14">
        <f>IFERROR(__xludf.DUMMYFUNCTION("""COMPUTED_VALUE"""),3.0)</f>
        <v>3</v>
      </c>
      <c r="I269" s="14">
        <f>IFERROR(__xludf.DUMMYFUNCTION("""COMPUTED_VALUE"""),-209.7693)</f>
        <v>-209.7693</v>
      </c>
      <c r="J269" s="3"/>
      <c r="K269" s="21"/>
      <c r="L269" s="21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</row>
    <row r="270">
      <c r="A270" s="12"/>
      <c r="B270" s="14" t="str">
        <f>IFERROR(__xludf.DUMMYFUNCTION("""COMPUTED_VALUE"""),"CA-2014-123323")</f>
        <v>CA-2014-123323</v>
      </c>
      <c r="C270" s="22">
        <f>IFERROR(__xludf.DUMMYFUNCTION("""COMPUTED_VALUE"""),41950.0)</f>
        <v>41950</v>
      </c>
      <c r="D270" s="14" t="str">
        <f>IFERROR(__xludf.DUMMYFUNCTION("""COMPUTED_VALUE"""),"Consumer")</f>
        <v>Consumer</v>
      </c>
      <c r="E270" s="14" t="str">
        <f>IFERROR(__xludf.DUMMYFUNCTION("""COMPUTED_VALUE"""),"California")</f>
        <v>California</v>
      </c>
      <c r="F270" s="14" t="str">
        <f>IFERROR(__xludf.DUMMYFUNCTION("""COMPUTED_VALUE"""),"West")</f>
        <v>West</v>
      </c>
      <c r="G270" s="14">
        <f>IFERROR(__xludf.DUMMYFUNCTION("""COMPUTED_VALUE"""),123.144)</f>
        <v>123.144</v>
      </c>
      <c r="H270" s="14">
        <f>IFERROR(__xludf.DUMMYFUNCTION("""COMPUTED_VALUE"""),7.0)</f>
        <v>7</v>
      </c>
      <c r="I270" s="14">
        <f>IFERROR(__xludf.DUMMYFUNCTION("""COMPUTED_VALUE"""),46.179)</f>
        <v>46.179</v>
      </c>
      <c r="J270" s="3"/>
      <c r="K270" s="21"/>
      <c r="L270" s="21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</row>
    <row r="271">
      <c r="A271" s="12"/>
      <c r="B271" s="14" t="str">
        <f>IFERROR(__xludf.DUMMYFUNCTION("""COMPUTED_VALUE"""),"CA-2014-121573")</f>
        <v>CA-2014-121573</v>
      </c>
      <c r="C271" s="22">
        <f>IFERROR(__xludf.DUMMYFUNCTION("""COMPUTED_VALUE"""),41946.0)</f>
        <v>41946</v>
      </c>
      <c r="D271" s="14" t="str">
        <f>IFERROR(__xludf.DUMMYFUNCTION("""COMPUTED_VALUE"""),"Consumer")</f>
        <v>Consumer</v>
      </c>
      <c r="E271" s="14" t="str">
        <f>IFERROR(__xludf.DUMMYFUNCTION("""COMPUTED_VALUE"""),"New York")</f>
        <v>New York</v>
      </c>
      <c r="F271" s="14" t="str">
        <f>IFERROR(__xludf.DUMMYFUNCTION("""COMPUTED_VALUE"""),"East")</f>
        <v>East</v>
      </c>
      <c r="G271" s="14">
        <f>IFERROR(__xludf.DUMMYFUNCTION("""COMPUTED_VALUE"""),783.96)</f>
        <v>783.96</v>
      </c>
      <c r="H271" s="14">
        <f>IFERROR(__xludf.DUMMYFUNCTION("""COMPUTED_VALUE"""),4.0)</f>
        <v>4</v>
      </c>
      <c r="I271" s="14">
        <f>IFERROR(__xludf.DUMMYFUNCTION("""COMPUTED_VALUE"""),219.5088)</f>
        <v>219.5088</v>
      </c>
      <c r="J271" s="3"/>
      <c r="K271" s="21"/>
      <c r="L271" s="21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</row>
    <row r="272">
      <c r="A272" s="12"/>
      <c r="B272" s="14" t="str">
        <f>IFERROR(__xludf.DUMMYFUNCTION("""COMPUTED_VALUE"""),"CA-2014-112851")</f>
        <v>CA-2014-112851</v>
      </c>
      <c r="C272" s="22">
        <f>IFERROR(__xludf.DUMMYFUNCTION("""COMPUTED_VALUE"""),41899.0)</f>
        <v>41899</v>
      </c>
      <c r="D272" s="14" t="str">
        <f>IFERROR(__xludf.DUMMYFUNCTION("""COMPUTED_VALUE"""),"Consumer")</f>
        <v>Consumer</v>
      </c>
      <c r="E272" s="14" t="str">
        <f>IFERROR(__xludf.DUMMYFUNCTION("""COMPUTED_VALUE"""),"California")</f>
        <v>California</v>
      </c>
      <c r="F272" s="14" t="str">
        <f>IFERROR(__xludf.DUMMYFUNCTION("""COMPUTED_VALUE"""),"West")</f>
        <v>West</v>
      </c>
      <c r="G272" s="14">
        <f>IFERROR(__xludf.DUMMYFUNCTION("""COMPUTED_VALUE"""),182.94)</f>
        <v>182.94</v>
      </c>
      <c r="H272" s="14">
        <f>IFERROR(__xludf.DUMMYFUNCTION("""COMPUTED_VALUE"""),3.0)</f>
        <v>3</v>
      </c>
      <c r="I272" s="14">
        <f>IFERROR(__xludf.DUMMYFUNCTION("""COMPUTED_VALUE"""),85.9818)</f>
        <v>85.9818</v>
      </c>
      <c r="J272" s="3"/>
      <c r="K272" s="21"/>
      <c r="L272" s="21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</row>
    <row r="273">
      <c r="A273" s="12"/>
      <c r="B273" s="14" t="str">
        <f>IFERROR(__xludf.DUMMYFUNCTION("""COMPUTED_VALUE"""),"US-2014-167262")</f>
        <v>US-2014-167262</v>
      </c>
      <c r="C273" s="23">
        <f>IFERROR(__xludf.DUMMYFUNCTION("""COMPUTED_VALUE"""),41943.0)</f>
        <v>41943</v>
      </c>
      <c r="D273" s="14" t="str">
        <f>IFERROR(__xludf.DUMMYFUNCTION("""COMPUTED_VALUE"""),"Consumer")</f>
        <v>Consumer</v>
      </c>
      <c r="E273" s="14" t="str">
        <f>IFERROR(__xludf.DUMMYFUNCTION("""COMPUTED_VALUE"""),"Arizona")</f>
        <v>Arizona</v>
      </c>
      <c r="F273" s="14" t="str">
        <f>IFERROR(__xludf.DUMMYFUNCTION("""COMPUTED_VALUE"""),"West")</f>
        <v>West</v>
      </c>
      <c r="G273" s="14">
        <f>IFERROR(__xludf.DUMMYFUNCTION("""COMPUTED_VALUE"""),742.336)</f>
        <v>742.336</v>
      </c>
      <c r="H273" s="14">
        <f>IFERROR(__xludf.DUMMYFUNCTION("""COMPUTED_VALUE"""),8.0)</f>
        <v>8</v>
      </c>
      <c r="I273" s="14">
        <f>IFERROR(__xludf.DUMMYFUNCTION("""COMPUTED_VALUE"""),83.5128)</f>
        <v>83.5128</v>
      </c>
      <c r="J273" s="3"/>
      <c r="K273" s="21"/>
      <c r="L273" s="21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</row>
    <row r="274">
      <c r="A274" s="12"/>
      <c r="B274" s="14" t="str">
        <f>IFERROR(__xludf.DUMMYFUNCTION("""COMPUTED_VALUE"""),"CA-2014-150301")</f>
        <v>CA-2014-150301</v>
      </c>
      <c r="C274" s="22">
        <f>IFERROR(__xludf.DUMMYFUNCTION("""COMPUTED_VALUE"""),41828.0)</f>
        <v>41828</v>
      </c>
      <c r="D274" s="14" t="str">
        <f>IFERROR(__xludf.DUMMYFUNCTION("""COMPUTED_VALUE"""),"Consumer")</f>
        <v>Consumer</v>
      </c>
      <c r="E274" s="14" t="str">
        <f>IFERROR(__xludf.DUMMYFUNCTION("""COMPUTED_VALUE"""),"New York")</f>
        <v>New York</v>
      </c>
      <c r="F274" s="14" t="str">
        <f>IFERROR(__xludf.DUMMYFUNCTION("""COMPUTED_VALUE"""),"East")</f>
        <v>East</v>
      </c>
      <c r="G274" s="14">
        <f>IFERROR(__xludf.DUMMYFUNCTION("""COMPUTED_VALUE"""),63.882)</f>
        <v>63.882</v>
      </c>
      <c r="H274" s="14">
        <f>IFERROR(__xludf.DUMMYFUNCTION("""COMPUTED_VALUE"""),1.0)</f>
        <v>1</v>
      </c>
      <c r="I274" s="14">
        <f>IFERROR(__xludf.DUMMYFUNCTION("""COMPUTED_VALUE"""),10.647)</f>
        <v>10.647</v>
      </c>
      <c r="J274" s="3"/>
      <c r="K274" s="21"/>
      <c r="L274" s="21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</row>
    <row r="275">
      <c r="A275" s="12"/>
      <c r="B275" s="14" t="str">
        <f>IFERROR(__xludf.DUMMYFUNCTION("""COMPUTED_VALUE"""),"CA-2014-159310")</f>
        <v>CA-2014-159310</v>
      </c>
      <c r="C275" s="22">
        <f>IFERROR(__xludf.DUMMYFUNCTION("""COMPUTED_VALUE"""),41950.0)</f>
        <v>41950</v>
      </c>
      <c r="D275" s="14" t="str">
        <f>IFERROR(__xludf.DUMMYFUNCTION("""COMPUTED_VALUE"""),"Consumer")</f>
        <v>Consumer</v>
      </c>
      <c r="E275" s="14" t="str">
        <f>IFERROR(__xludf.DUMMYFUNCTION("""COMPUTED_VALUE"""),"Texas")</f>
        <v>Texas</v>
      </c>
      <c r="F275" s="14" t="str">
        <f>IFERROR(__xludf.DUMMYFUNCTION("""COMPUTED_VALUE"""),"Central")</f>
        <v>Central</v>
      </c>
      <c r="G275" s="14">
        <f>IFERROR(__xludf.DUMMYFUNCTION("""COMPUTED_VALUE"""),683.144)</f>
        <v>683.144</v>
      </c>
      <c r="H275" s="14">
        <f>IFERROR(__xludf.DUMMYFUNCTION("""COMPUTED_VALUE"""),4.0)</f>
        <v>4</v>
      </c>
      <c r="I275" s="14">
        <f>IFERROR(__xludf.DUMMYFUNCTION("""COMPUTED_VALUE"""),0.0)</f>
        <v>0</v>
      </c>
      <c r="J275" s="3"/>
      <c r="K275" s="21"/>
      <c r="L275" s="21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</row>
    <row r="276">
      <c r="A276" s="12"/>
      <c r="B276" s="14" t="str">
        <f>IFERROR(__xludf.DUMMYFUNCTION("""COMPUTED_VALUE"""),"CA-2014-139598")</f>
        <v>CA-2014-139598</v>
      </c>
      <c r="C276" s="23">
        <f>IFERROR(__xludf.DUMMYFUNCTION("""COMPUTED_VALUE"""),41999.0)</f>
        <v>41999</v>
      </c>
      <c r="D276" s="14" t="str">
        <f>IFERROR(__xludf.DUMMYFUNCTION("""COMPUTED_VALUE"""),"Consumer")</f>
        <v>Consumer</v>
      </c>
      <c r="E276" s="14" t="str">
        <f>IFERROR(__xludf.DUMMYFUNCTION("""COMPUTED_VALUE"""),"Pennsylvania")</f>
        <v>Pennsylvania</v>
      </c>
      <c r="F276" s="14" t="str">
        <f>IFERROR(__xludf.DUMMYFUNCTION("""COMPUTED_VALUE"""),"East")</f>
        <v>East</v>
      </c>
      <c r="G276" s="14">
        <f>IFERROR(__xludf.DUMMYFUNCTION("""COMPUTED_VALUE"""),18.264)</f>
        <v>18.264</v>
      </c>
      <c r="H276" s="14">
        <f>IFERROR(__xludf.DUMMYFUNCTION("""COMPUTED_VALUE"""),3.0)</f>
        <v>3</v>
      </c>
      <c r="I276" s="14">
        <f>IFERROR(__xludf.DUMMYFUNCTION("""COMPUTED_VALUE"""),6.1641)</f>
        <v>6.1641</v>
      </c>
      <c r="J276" s="3"/>
      <c r="K276" s="21"/>
      <c r="L276" s="21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</row>
    <row r="277">
      <c r="A277" s="12"/>
      <c r="B277" s="14" t="str">
        <f>IFERROR(__xludf.DUMMYFUNCTION("""COMPUTED_VALUE"""),"CA-2014-120278")</f>
        <v>CA-2014-120278</v>
      </c>
      <c r="C277" s="22">
        <f>IFERROR(__xludf.DUMMYFUNCTION("""COMPUTED_VALUE"""),41950.0)</f>
        <v>41950</v>
      </c>
      <c r="D277" s="14" t="str">
        <f>IFERROR(__xludf.DUMMYFUNCTION("""COMPUTED_VALUE"""),"Consumer")</f>
        <v>Consumer</v>
      </c>
      <c r="E277" s="14" t="str">
        <f>IFERROR(__xludf.DUMMYFUNCTION("""COMPUTED_VALUE"""),"Wisconsin")</f>
        <v>Wisconsin</v>
      </c>
      <c r="F277" s="14" t="str">
        <f>IFERROR(__xludf.DUMMYFUNCTION("""COMPUTED_VALUE"""),"Central")</f>
        <v>Central</v>
      </c>
      <c r="G277" s="14">
        <f>IFERROR(__xludf.DUMMYFUNCTION("""COMPUTED_VALUE"""),245.88)</f>
        <v>245.88</v>
      </c>
      <c r="H277" s="14">
        <f>IFERROR(__xludf.DUMMYFUNCTION("""COMPUTED_VALUE"""),6.0)</f>
        <v>6</v>
      </c>
      <c r="I277" s="14">
        <f>IFERROR(__xludf.DUMMYFUNCTION("""COMPUTED_VALUE"""),68.8464)</f>
        <v>68.8464</v>
      </c>
      <c r="J277" s="3"/>
      <c r="K277" s="21"/>
      <c r="L277" s="21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</row>
    <row r="278">
      <c r="A278" s="12"/>
      <c r="B278" s="14" t="str">
        <f>IFERROR(__xludf.DUMMYFUNCTION("""COMPUTED_VALUE"""),"CA-2014-107818")</f>
        <v>CA-2014-107818</v>
      </c>
      <c r="C278" s="22">
        <f>IFERROR(__xludf.DUMMYFUNCTION("""COMPUTED_VALUE"""),41890.0)</f>
        <v>41890</v>
      </c>
      <c r="D278" s="14" t="str">
        <f>IFERROR(__xludf.DUMMYFUNCTION("""COMPUTED_VALUE"""),"Consumer")</f>
        <v>Consumer</v>
      </c>
      <c r="E278" s="14" t="str">
        <f>IFERROR(__xludf.DUMMYFUNCTION("""COMPUTED_VALUE"""),"Washington")</f>
        <v>Washington</v>
      </c>
      <c r="F278" s="14" t="str">
        <f>IFERROR(__xludf.DUMMYFUNCTION("""COMPUTED_VALUE"""),"West")</f>
        <v>West</v>
      </c>
      <c r="G278" s="14">
        <f>IFERROR(__xludf.DUMMYFUNCTION("""COMPUTED_VALUE"""),5.88)</f>
        <v>5.88</v>
      </c>
      <c r="H278" s="14">
        <f>IFERROR(__xludf.DUMMYFUNCTION("""COMPUTED_VALUE"""),2.0)</f>
        <v>2</v>
      </c>
      <c r="I278" s="14">
        <f>IFERROR(__xludf.DUMMYFUNCTION("""COMPUTED_VALUE"""),2.646)</f>
        <v>2.646</v>
      </c>
      <c r="J278" s="3"/>
      <c r="K278" s="21"/>
      <c r="L278" s="21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</row>
    <row r="279">
      <c r="A279" s="12"/>
      <c r="B279" s="14" t="str">
        <f>IFERROR(__xludf.DUMMYFUNCTION("""COMPUTED_VALUE"""),"CA-2014-113320")</f>
        <v>CA-2014-113320</v>
      </c>
      <c r="C279" s="23">
        <f>IFERROR(__xludf.DUMMYFUNCTION("""COMPUTED_VALUE"""),41985.0)</f>
        <v>41985</v>
      </c>
      <c r="D279" s="14" t="str">
        <f>IFERROR(__xludf.DUMMYFUNCTION("""COMPUTED_VALUE"""),"Consumer")</f>
        <v>Consumer</v>
      </c>
      <c r="E279" s="14" t="str">
        <f>IFERROR(__xludf.DUMMYFUNCTION("""COMPUTED_VALUE"""),"California")</f>
        <v>California</v>
      </c>
      <c r="F279" s="14" t="str">
        <f>IFERROR(__xludf.DUMMYFUNCTION("""COMPUTED_VALUE"""),"West")</f>
        <v>West</v>
      </c>
      <c r="G279" s="14">
        <f>IFERROR(__xludf.DUMMYFUNCTION("""COMPUTED_VALUE"""),12.54)</f>
        <v>12.54</v>
      </c>
      <c r="H279" s="14">
        <f>IFERROR(__xludf.DUMMYFUNCTION("""COMPUTED_VALUE"""),3.0)</f>
        <v>3</v>
      </c>
      <c r="I279" s="14">
        <f>IFERROR(__xludf.DUMMYFUNCTION("""COMPUTED_VALUE"""),4.5144)</f>
        <v>4.5144</v>
      </c>
      <c r="J279" s="3"/>
      <c r="K279" s="21"/>
      <c r="L279" s="21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</row>
    <row r="280">
      <c r="A280" s="12"/>
      <c r="B280" s="14" t="str">
        <f>IFERROR(__xludf.DUMMYFUNCTION("""COMPUTED_VALUE"""),"US-2014-122021")</f>
        <v>US-2014-122021</v>
      </c>
      <c r="C280" s="23">
        <f>IFERROR(__xludf.DUMMYFUNCTION("""COMPUTED_VALUE"""),41927.0)</f>
        <v>41927</v>
      </c>
      <c r="D280" s="14" t="str">
        <f>IFERROR(__xludf.DUMMYFUNCTION("""COMPUTED_VALUE"""),"Consumer")</f>
        <v>Consumer</v>
      </c>
      <c r="E280" s="14" t="str">
        <f>IFERROR(__xludf.DUMMYFUNCTION("""COMPUTED_VALUE"""),"Ohio")</f>
        <v>Ohio</v>
      </c>
      <c r="F280" s="14" t="str">
        <f>IFERROR(__xludf.DUMMYFUNCTION("""COMPUTED_VALUE"""),"East")</f>
        <v>East</v>
      </c>
      <c r="G280" s="14">
        <f>IFERROR(__xludf.DUMMYFUNCTION("""COMPUTED_VALUE"""),183.372)</f>
        <v>183.372</v>
      </c>
      <c r="H280" s="14">
        <f>IFERROR(__xludf.DUMMYFUNCTION("""COMPUTED_VALUE"""),2.0)</f>
        <v>2</v>
      </c>
      <c r="I280" s="14">
        <f>IFERROR(__xludf.DUMMYFUNCTION("""COMPUTED_VALUE"""),-7.8588)</f>
        <v>-7.8588</v>
      </c>
      <c r="J280" s="3"/>
      <c r="K280" s="21"/>
      <c r="L280" s="21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</row>
    <row r="281">
      <c r="A281" s="12"/>
      <c r="B281" s="14" t="str">
        <f>IFERROR(__xludf.DUMMYFUNCTION("""COMPUTED_VALUE"""),"CA-2014-133809")</f>
        <v>CA-2014-133809</v>
      </c>
      <c r="C281" s="23">
        <f>IFERROR(__xludf.DUMMYFUNCTION("""COMPUTED_VALUE"""),41961.0)</f>
        <v>41961</v>
      </c>
      <c r="D281" s="14" t="str">
        <f>IFERROR(__xludf.DUMMYFUNCTION("""COMPUTED_VALUE"""),"Consumer")</f>
        <v>Consumer</v>
      </c>
      <c r="E281" s="14" t="str">
        <f>IFERROR(__xludf.DUMMYFUNCTION("""COMPUTED_VALUE"""),"Ohio")</f>
        <v>Ohio</v>
      </c>
      <c r="F281" s="14" t="str">
        <f>IFERROR(__xludf.DUMMYFUNCTION("""COMPUTED_VALUE"""),"East")</f>
        <v>East</v>
      </c>
      <c r="G281" s="14">
        <f>IFERROR(__xludf.DUMMYFUNCTION("""COMPUTED_VALUE"""),11.808)</f>
        <v>11.808</v>
      </c>
      <c r="H281" s="14">
        <f>IFERROR(__xludf.DUMMYFUNCTION("""COMPUTED_VALUE"""),8.0)</f>
        <v>8</v>
      </c>
      <c r="I281" s="14">
        <f>IFERROR(__xludf.DUMMYFUNCTION("""COMPUTED_VALUE"""),-8.6592)</f>
        <v>-8.6592</v>
      </c>
      <c r="J281" s="3"/>
      <c r="K281" s="21"/>
      <c r="L281" s="21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</row>
    <row r="282">
      <c r="A282" s="12"/>
      <c r="B282" s="14" t="str">
        <f>IFERROR(__xludf.DUMMYFUNCTION("""COMPUTED_VALUE"""),"US-2014-138828")</f>
        <v>US-2014-138828</v>
      </c>
      <c r="C282" s="22">
        <f>IFERROR(__xludf.DUMMYFUNCTION("""COMPUTED_VALUE"""),41884.0)</f>
        <v>41884</v>
      </c>
      <c r="D282" s="14" t="str">
        <f>IFERROR(__xludf.DUMMYFUNCTION("""COMPUTED_VALUE"""),"Consumer")</f>
        <v>Consumer</v>
      </c>
      <c r="E282" s="14" t="str">
        <f>IFERROR(__xludf.DUMMYFUNCTION("""COMPUTED_VALUE"""),"New York")</f>
        <v>New York</v>
      </c>
      <c r="F282" s="14" t="str">
        <f>IFERROR(__xludf.DUMMYFUNCTION("""COMPUTED_VALUE"""),"East")</f>
        <v>East</v>
      </c>
      <c r="G282" s="14">
        <f>IFERROR(__xludf.DUMMYFUNCTION("""COMPUTED_VALUE"""),57.75)</f>
        <v>57.75</v>
      </c>
      <c r="H282" s="14">
        <f>IFERROR(__xludf.DUMMYFUNCTION("""COMPUTED_VALUE"""),5.0)</f>
        <v>5</v>
      </c>
      <c r="I282" s="14">
        <f>IFERROR(__xludf.DUMMYFUNCTION("""COMPUTED_VALUE"""),16.17)</f>
        <v>16.17</v>
      </c>
      <c r="J282" s="3"/>
      <c r="K282" s="21"/>
      <c r="L282" s="21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</row>
    <row r="283">
      <c r="A283" s="12"/>
      <c r="B283" s="14" t="str">
        <f>IFERROR(__xludf.DUMMYFUNCTION("""COMPUTED_VALUE"""),"CA-2014-157147")</f>
        <v>CA-2014-157147</v>
      </c>
      <c r="C283" s="22">
        <f>IFERROR(__xludf.DUMMYFUNCTION("""COMPUTED_VALUE"""),41652.0)</f>
        <v>41652</v>
      </c>
      <c r="D283" s="14" t="str">
        <f>IFERROR(__xludf.DUMMYFUNCTION("""COMPUTED_VALUE"""),"Consumer")</f>
        <v>Consumer</v>
      </c>
      <c r="E283" s="14" t="str">
        <f>IFERROR(__xludf.DUMMYFUNCTION("""COMPUTED_VALUE"""),"California")</f>
        <v>California</v>
      </c>
      <c r="F283" s="14" t="str">
        <f>IFERROR(__xludf.DUMMYFUNCTION("""COMPUTED_VALUE"""),"West")</f>
        <v>West</v>
      </c>
      <c r="G283" s="14">
        <f>IFERROR(__xludf.DUMMYFUNCTION("""COMPUTED_VALUE"""),1325.85)</f>
        <v>1325.85</v>
      </c>
      <c r="H283" s="14">
        <f>IFERROR(__xludf.DUMMYFUNCTION("""COMPUTED_VALUE"""),5.0)</f>
        <v>5</v>
      </c>
      <c r="I283" s="14">
        <f>IFERROR(__xludf.DUMMYFUNCTION("""COMPUTED_VALUE"""),238.653)</f>
        <v>238.653</v>
      </c>
      <c r="J283" s="3"/>
      <c r="K283" s="21"/>
      <c r="L283" s="21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</row>
    <row r="284">
      <c r="A284" s="12"/>
      <c r="B284" s="14" t="str">
        <f>IFERROR(__xludf.DUMMYFUNCTION("""COMPUTED_VALUE"""),"CA-2014-102085")</f>
        <v>CA-2014-102085</v>
      </c>
      <c r="C284" s="22">
        <f>IFERROR(__xludf.DUMMYFUNCTION("""COMPUTED_VALUE"""),41916.0)</f>
        <v>41916</v>
      </c>
      <c r="D284" s="14" t="str">
        <f>IFERROR(__xludf.DUMMYFUNCTION("""COMPUTED_VALUE"""),"Consumer")</f>
        <v>Consumer</v>
      </c>
      <c r="E284" s="14" t="str">
        <f>IFERROR(__xludf.DUMMYFUNCTION("""COMPUTED_VALUE"""),"Washington")</f>
        <v>Washington</v>
      </c>
      <c r="F284" s="14" t="str">
        <f>IFERROR(__xludf.DUMMYFUNCTION("""COMPUTED_VALUE"""),"West")</f>
        <v>West</v>
      </c>
      <c r="G284" s="14">
        <f>IFERROR(__xludf.DUMMYFUNCTION("""COMPUTED_VALUE"""),29.24)</f>
        <v>29.24</v>
      </c>
      <c r="H284" s="14">
        <f>IFERROR(__xludf.DUMMYFUNCTION("""COMPUTED_VALUE"""),4.0)</f>
        <v>4</v>
      </c>
      <c r="I284" s="14">
        <f>IFERROR(__xludf.DUMMYFUNCTION("""COMPUTED_VALUE"""),13.7428)</f>
        <v>13.7428</v>
      </c>
      <c r="J284" s="3"/>
      <c r="K284" s="21"/>
      <c r="L284" s="21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</row>
    <row r="285">
      <c r="A285" s="12"/>
      <c r="B285" s="14" t="str">
        <f>IFERROR(__xludf.DUMMYFUNCTION("""COMPUTED_VALUE"""),"CA-2014-156587")</f>
        <v>CA-2014-156587</v>
      </c>
      <c r="C285" s="22">
        <f>IFERROR(__xludf.DUMMYFUNCTION("""COMPUTED_VALUE"""),41705.0)</f>
        <v>41705</v>
      </c>
      <c r="D285" s="14" t="str">
        <f>IFERROR(__xludf.DUMMYFUNCTION("""COMPUTED_VALUE"""),"Consumer")</f>
        <v>Consumer</v>
      </c>
      <c r="E285" s="14" t="str">
        <f>IFERROR(__xludf.DUMMYFUNCTION("""COMPUTED_VALUE"""),"Washington")</f>
        <v>Washington</v>
      </c>
      <c r="F285" s="14" t="str">
        <f>IFERROR(__xludf.DUMMYFUNCTION("""COMPUTED_VALUE"""),"West")</f>
        <v>West</v>
      </c>
      <c r="G285" s="14">
        <f>IFERROR(__xludf.DUMMYFUNCTION("""COMPUTED_VALUE"""),48.712)</f>
        <v>48.712</v>
      </c>
      <c r="H285" s="14">
        <f>IFERROR(__xludf.DUMMYFUNCTION("""COMPUTED_VALUE"""),1.0)</f>
        <v>1</v>
      </c>
      <c r="I285" s="14">
        <f>IFERROR(__xludf.DUMMYFUNCTION("""COMPUTED_VALUE"""),5.4801)</f>
        <v>5.4801</v>
      </c>
      <c r="J285" s="3"/>
      <c r="K285" s="21"/>
      <c r="L285" s="21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</row>
    <row r="286">
      <c r="A286" s="12"/>
      <c r="B286" s="14" t="str">
        <f>IFERROR(__xludf.DUMMYFUNCTION("""COMPUTED_VALUE"""),"CA-2014-125171")</f>
        <v>CA-2014-125171</v>
      </c>
      <c r="C286" s="22">
        <f>IFERROR(__xludf.DUMMYFUNCTION("""COMPUTED_VALUE"""),41885.0)</f>
        <v>41885</v>
      </c>
      <c r="D286" s="14" t="str">
        <f>IFERROR(__xludf.DUMMYFUNCTION("""COMPUTED_VALUE"""),"Consumer")</f>
        <v>Consumer</v>
      </c>
      <c r="E286" s="14" t="str">
        <f>IFERROR(__xludf.DUMMYFUNCTION("""COMPUTED_VALUE"""),"New York")</f>
        <v>New York</v>
      </c>
      <c r="F286" s="14" t="str">
        <f>IFERROR(__xludf.DUMMYFUNCTION("""COMPUTED_VALUE"""),"East")</f>
        <v>East</v>
      </c>
      <c r="G286" s="14">
        <f>IFERROR(__xludf.DUMMYFUNCTION("""COMPUTED_VALUE"""),14.4)</f>
        <v>14.4</v>
      </c>
      <c r="H286" s="14">
        <f>IFERROR(__xludf.DUMMYFUNCTION("""COMPUTED_VALUE"""),5.0)</f>
        <v>5</v>
      </c>
      <c r="I286" s="14">
        <f>IFERROR(__xludf.DUMMYFUNCTION("""COMPUTED_VALUE"""),7.056)</f>
        <v>7.056</v>
      </c>
      <c r="J286" s="3"/>
      <c r="K286" s="21"/>
      <c r="L286" s="21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</row>
    <row r="287">
      <c r="A287" s="12"/>
      <c r="B287" s="14" t="str">
        <f>IFERROR(__xludf.DUMMYFUNCTION("""COMPUTED_VALUE"""),"CA-2014-156006")</f>
        <v>CA-2014-156006</v>
      </c>
      <c r="C287" s="22">
        <f>IFERROR(__xludf.DUMMYFUNCTION("""COMPUTED_VALUE"""),41759.0)</f>
        <v>41759</v>
      </c>
      <c r="D287" s="14" t="str">
        <f>IFERROR(__xludf.DUMMYFUNCTION("""COMPUTED_VALUE"""),"Consumer")</f>
        <v>Consumer</v>
      </c>
      <c r="E287" s="14" t="str">
        <f>IFERROR(__xludf.DUMMYFUNCTION("""COMPUTED_VALUE"""),"Mississippi")</f>
        <v>Mississippi</v>
      </c>
      <c r="F287" s="14" t="str">
        <f>IFERROR(__xludf.DUMMYFUNCTION("""COMPUTED_VALUE"""),"South")</f>
        <v>South</v>
      </c>
      <c r="G287" s="14">
        <f>IFERROR(__xludf.DUMMYFUNCTION("""COMPUTED_VALUE"""),47.79)</f>
        <v>47.79</v>
      </c>
      <c r="H287" s="14">
        <f>IFERROR(__xludf.DUMMYFUNCTION("""COMPUTED_VALUE"""),3.0)</f>
        <v>3</v>
      </c>
      <c r="I287" s="14">
        <f>IFERROR(__xludf.DUMMYFUNCTION("""COMPUTED_VALUE"""),16.2486)</f>
        <v>16.2486</v>
      </c>
      <c r="J287" s="3"/>
      <c r="K287" s="21"/>
      <c r="L287" s="21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</row>
    <row r="288">
      <c r="A288" s="12"/>
      <c r="B288" s="14" t="str">
        <f>IFERROR(__xludf.DUMMYFUNCTION("""COMPUTED_VALUE"""),"CA-2014-153850")</f>
        <v>CA-2014-153850</v>
      </c>
      <c r="C288" s="23">
        <f>IFERROR(__xludf.DUMMYFUNCTION("""COMPUTED_VALUE"""),41967.0)</f>
        <v>41967</v>
      </c>
      <c r="D288" s="14" t="str">
        <f>IFERROR(__xludf.DUMMYFUNCTION("""COMPUTED_VALUE"""),"Consumer")</f>
        <v>Consumer</v>
      </c>
      <c r="E288" s="14" t="str">
        <f>IFERROR(__xludf.DUMMYFUNCTION("""COMPUTED_VALUE"""),"Ohio")</f>
        <v>Ohio</v>
      </c>
      <c r="F288" s="14" t="str">
        <f>IFERROR(__xludf.DUMMYFUNCTION("""COMPUTED_VALUE"""),"East")</f>
        <v>East</v>
      </c>
      <c r="G288" s="14">
        <f>IFERROR(__xludf.DUMMYFUNCTION("""COMPUTED_VALUE"""),35.168)</f>
        <v>35.168</v>
      </c>
      <c r="H288" s="14">
        <f>IFERROR(__xludf.DUMMYFUNCTION("""COMPUTED_VALUE"""),7.0)</f>
        <v>7</v>
      </c>
      <c r="I288" s="14">
        <f>IFERROR(__xludf.DUMMYFUNCTION("""COMPUTED_VALUE"""),9.6712)</f>
        <v>9.6712</v>
      </c>
      <c r="J288" s="3"/>
      <c r="K288" s="21"/>
      <c r="L288" s="21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</row>
    <row r="289">
      <c r="A289" s="12"/>
      <c r="B289" s="14" t="str">
        <f>IFERROR(__xludf.DUMMYFUNCTION("""COMPUTED_VALUE"""),"CA-2014-127558")</f>
        <v>CA-2014-127558</v>
      </c>
      <c r="C289" s="23">
        <f>IFERROR(__xludf.DUMMYFUNCTION("""COMPUTED_VALUE"""),41958.0)</f>
        <v>41958</v>
      </c>
      <c r="D289" s="14" t="str">
        <f>IFERROR(__xludf.DUMMYFUNCTION("""COMPUTED_VALUE"""),"Consumer")</f>
        <v>Consumer</v>
      </c>
      <c r="E289" s="14" t="str">
        <f>IFERROR(__xludf.DUMMYFUNCTION("""COMPUTED_VALUE"""),"California")</f>
        <v>California</v>
      </c>
      <c r="F289" s="14" t="str">
        <f>IFERROR(__xludf.DUMMYFUNCTION("""COMPUTED_VALUE"""),"West")</f>
        <v>West</v>
      </c>
      <c r="G289" s="14">
        <f>IFERROR(__xludf.DUMMYFUNCTION("""COMPUTED_VALUE"""),10.11)</f>
        <v>10.11</v>
      </c>
      <c r="H289" s="14">
        <f>IFERROR(__xludf.DUMMYFUNCTION("""COMPUTED_VALUE"""),3.0)</f>
        <v>3</v>
      </c>
      <c r="I289" s="14">
        <f>IFERROR(__xludf.DUMMYFUNCTION("""COMPUTED_VALUE"""),3.2352)</f>
        <v>3.2352</v>
      </c>
      <c r="J289" s="3"/>
      <c r="K289" s="21"/>
      <c r="L289" s="21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</row>
    <row r="290">
      <c r="A290" s="12"/>
      <c r="B290" s="14" t="str">
        <f>IFERROR(__xludf.DUMMYFUNCTION("""COMPUTED_VALUE"""),"CA-2014-151792")</f>
        <v>CA-2014-151792</v>
      </c>
      <c r="C290" s="22">
        <f>IFERROR(__xludf.DUMMYFUNCTION("""COMPUTED_VALUE"""),41884.0)</f>
        <v>41884</v>
      </c>
      <c r="D290" s="14" t="str">
        <f>IFERROR(__xludf.DUMMYFUNCTION("""COMPUTED_VALUE"""),"Consumer")</f>
        <v>Consumer</v>
      </c>
      <c r="E290" s="14" t="str">
        <f>IFERROR(__xludf.DUMMYFUNCTION("""COMPUTED_VALUE"""),"Illinois")</f>
        <v>Illinois</v>
      </c>
      <c r="F290" s="14" t="str">
        <f>IFERROR(__xludf.DUMMYFUNCTION("""COMPUTED_VALUE"""),"Central")</f>
        <v>Central</v>
      </c>
      <c r="G290" s="14">
        <f>IFERROR(__xludf.DUMMYFUNCTION("""COMPUTED_VALUE"""),239.976)</f>
        <v>239.976</v>
      </c>
      <c r="H290" s="14">
        <f>IFERROR(__xludf.DUMMYFUNCTION("""COMPUTED_VALUE"""),3.0)</f>
        <v>3</v>
      </c>
      <c r="I290" s="14">
        <f>IFERROR(__xludf.DUMMYFUNCTION("""COMPUTED_VALUE"""),53.9946)</f>
        <v>53.9946</v>
      </c>
      <c r="J290" s="3"/>
      <c r="K290" s="21"/>
      <c r="L290" s="21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</row>
    <row r="291">
      <c r="A291" s="12"/>
      <c r="B291" s="14" t="str">
        <f>IFERROR(__xludf.DUMMYFUNCTION("""COMPUTED_VALUE"""),"US-2014-104759")</f>
        <v>US-2014-104759</v>
      </c>
      <c r="C291" s="22">
        <f>IFERROR(__xludf.DUMMYFUNCTION("""COMPUTED_VALUE"""),41729.0)</f>
        <v>41729</v>
      </c>
      <c r="D291" s="14" t="str">
        <f>IFERROR(__xludf.DUMMYFUNCTION("""COMPUTED_VALUE"""),"Consumer")</f>
        <v>Consumer</v>
      </c>
      <c r="E291" s="14" t="str">
        <f>IFERROR(__xludf.DUMMYFUNCTION("""COMPUTED_VALUE"""),"Illinois")</f>
        <v>Illinois</v>
      </c>
      <c r="F291" s="14" t="str">
        <f>IFERROR(__xludf.DUMMYFUNCTION("""COMPUTED_VALUE"""),"Central")</f>
        <v>Central</v>
      </c>
      <c r="G291" s="14">
        <f>IFERROR(__xludf.DUMMYFUNCTION("""COMPUTED_VALUE"""),8.134)</f>
        <v>8.134</v>
      </c>
      <c r="H291" s="14">
        <f>IFERROR(__xludf.DUMMYFUNCTION("""COMPUTED_VALUE"""),7.0)</f>
        <v>7</v>
      </c>
      <c r="I291" s="14">
        <f>IFERROR(__xludf.DUMMYFUNCTION("""COMPUTED_VALUE"""),-13.8278)</f>
        <v>-13.8278</v>
      </c>
      <c r="J291" s="3"/>
      <c r="K291" s="21"/>
      <c r="L291" s="21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</row>
    <row r="292">
      <c r="A292" s="12"/>
      <c r="B292" s="14" t="str">
        <f>IFERROR(__xludf.DUMMYFUNCTION("""COMPUTED_VALUE"""),"CA-2014-134572")</f>
        <v>CA-2014-134572</v>
      </c>
      <c r="C292" s="22">
        <f>IFERROR(__xludf.DUMMYFUNCTION("""COMPUTED_VALUE"""),41749.0)</f>
        <v>41749</v>
      </c>
      <c r="D292" s="14" t="str">
        <f>IFERROR(__xludf.DUMMYFUNCTION("""COMPUTED_VALUE"""),"Consumer")</f>
        <v>Consumer</v>
      </c>
      <c r="E292" s="14" t="str">
        <f>IFERROR(__xludf.DUMMYFUNCTION("""COMPUTED_VALUE"""),"Texas")</f>
        <v>Texas</v>
      </c>
      <c r="F292" s="14" t="str">
        <f>IFERROR(__xludf.DUMMYFUNCTION("""COMPUTED_VALUE"""),"Central")</f>
        <v>Central</v>
      </c>
      <c r="G292" s="14">
        <f>IFERROR(__xludf.DUMMYFUNCTION("""COMPUTED_VALUE"""),744.1)</f>
        <v>744.1</v>
      </c>
      <c r="H292" s="14">
        <f>IFERROR(__xludf.DUMMYFUNCTION("""COMPUTED_VALUE"""),5.0)</f>
        <v>5</v>
      </c>
      <c r="I292" s="14">
        <f>IFERROR(__xludf.DUMMYFUNCTION("""COMPUTED_VALUE"""),-95.67)</f>
        <v>-95.67</v>
      </c>
      <c r="J292" s="3"/>
      <c r="K292" s="21"/>
      <c r="L292" s="21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</row>
    <row r="293">
      <c r="A293" s="12"/>
      <c r="B293" s="14" t="str">
        <f>IFERROR(__xludf.DUMMYFUNCTION("""COMPUTED_VALUE"""),"US-2014-140452")</f>
        <v>US-2014-140452</v>
      </c>
      <c r="C293" s="22">
        <f>IFERROR(__xludf.DUMMYFUNCTION("""COMPUTED_VALUE"""),41979.0)</f>
        <v>41979</v>
      </c>
      <c r="D293" s="14" t="str">
        <f>IFERROR(__xludf.DUMMYFUNCTION("""COMPUTED_VALUE"""),"Consumer")</f>
        <v>Consumer</v>
      </c>
      <c r="E293" s="14" t="str">
        <f>IFERROR(__xludf.DUMMYFUNCTION("""COMPUTED_VALUE"""),"Illinois")</f>
        <v>Illinois</v>
      </c>
      <c r="F293" s="14" t="str">
        <f>IFERROR(__xludf.DUMMYFUNCTION("""COMPUTED_VALUE"""),"Central")</f>
        <v>Central</v>
      </c>
      <c r="G293" s="14">
        <f>IFERROR(__xludf.DUMMYFUNCTION("""COMPUTED_VALUE"""),14.016)</f>
        <v>14.016</v>
      </c>
      <c r="H293" s="14">
        <f>IFERROR(__xludf.DUMMYFUNCTION("""COMPUTED_VALUE"""),4.0)</f>
        <v>4</v>
      </c>
      <c r="I293" s="14">
        <f>IFERROR(__xludf.DUMMYFUNCTION("""COMPUTED_VALUE"""),-31.536)</f>
        <v>-31.536</v>
      </c>
      <c r="J293" s="3"/>
      <c r="K293" s="21"/>
      <c r="L293" s="21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</row>
    <row r="294">
      <c r="A294" s="12"/>
      <c r="B294" s="14" t="str">
        <f>IFERROR(__xludf.DUMMYFUNCTION("""COMPUTED_VALUE"""),"CA-2014-158442")</f>
        <v>CA-2014-158442</v>
      </c>
      <c r="C294" s="22">
        <f>IFERROR(__xludf.DUMMYFUNCTION("""COMPUTED_VALUE"""),41715.0)</f>
        <v>41715</v>
      </c>
      <c r="D294" s="14" t="str">
        <f>IFERROR(__xludf.DUMMYFUNCTION("""COMPUTED_VALUE"""),"Consumer")</f>
        <v>Consumer</v>
      </c>
      <c r="E294" s="14" t="str">
        <f>IFERROR(__xludf.DUMMYFUNCTION("""COMPUTED_VALUE"""),"Texas")</f>
        <v>Texas</v>
      </c>
      <c r="F294" s="14" t="str">
        <f>IFERROR(__xludf.DUMMYFUNCTION("""COMPUTED_VALUE"""),"Central")</f>
        <v>Central</v>
      </c>
      <c r="G294" s="14">
        <f>IFERROR(__xludf.DUMMYFUNCTION("""COMPUTED_VALUE"""),4.448)</f>
        <v>4.448</v>
      </c>
      <c r="H294" s="14">
        <f>IFERROR(__xludf.DUMMYFUNCTION("""COMPUTED_VALUE"""),2.0)</f>
        <v>2</v>
      </c>
      <c r="I294" s="14">
        <f>IFERROR(__xludf.DUMMYFUNCTION("""COMPUTED_VALUE"""),0.3336)</f>
        <v>0.3336</v>
      </c>
      <c r="J294" s="3"/>
      <c r="K294" s="21"/>
      <c r="L294" s="21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</row>
    <row r="295">
      <c r="A295" s="12"/>
      <c r="B295" s="14" t="str">
        <f>IFERROR(__xludf.DUMMYFUNCTION("""COMPUTED_VALUE"""),"CA-2014-116568")</f>
        <v>CA-2014-116568</v>
      </c>
      <c r="C295" s="23">
        <f>IFERROR(__xludf.DUMMYFUNCTION("""COMPUTED_VALUE"""),41987.0)</f>
        <v>41987</v>
      </c>
      <c r="D295" s="14" t="str">
        <f>IFERROR(__xludf.DUMMYFUNCTION("""COMPUTED_VALUE"""),"Consumer")</f>
        <v>Consumer</v>
      </c>
      <c r="E295" s="14" t="str">
        <f>IFERROR(__xludf.DUMMYFUNCTION("""COMPUTED_VALUE"""),"Florida")</f>
        <v>Florida</v>
      </c>
      <c r="F295" s="14" t="str">
        <f>IFERROR(__xludf.DUMMYFUNCTION("""COMPUTED_VALUE"""),"South")</f>
        <v>South</v>
      </c>
      <c r="G295" s="14">
        <f>IFERROR(__xludf.DUMMYFUNCTION("""COMPUTED_VALUE"""),186.304)</f>
        <v>186.304</v>
      </c>
      <c r="H295" s="14">
        <f>IFERROR(__xludf.DUMMYFUNCTION("""COMPUTED_VALUE"""),4.0)</f>
        <v>4</v>
      </c>
      <c r="I295" s="14">
        <f>IFERROR(__xludf.DUMMYFUNCTION("""COMPUTED_VALUE"""),13.9728)</f>
        <v>13.9728</v>
      </c>
      <c r="J295" s="3"/>
      <c r="K295" s="21"/>
      <c r="L295" s="21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</row>
    <row r="296">
      <c r="A296" s="12"/>
      <c r="B296" s="14" t="str">
        <f>IFERROR(__xludf.DUMMYFUNCTION("""COMPUTED_VALUE"""),"CA-2014-160766")</f>
        <v>CA-2014-160766</v>
      </c>
      <c r="C296" s="22">
        <f>IFERROR(__xludf.DUMMYFUNCTION("""COMPUTED_VALUE"""),41896.0)</f>
        <v>41896</v>
      </c>
      <c r="D296" s="14" t="str">
        <f>IFERROR(__xludf.DUMMYFUNCTION("""COMPUTED_VALUE"""),"Consumer")</f>
        <v>Consumer</v>
      </c>
      <c r="E296" s="14" t="str">
        <f>IFERROR(__xludf.DUMMYFUNCTION("""COMPUTED_VALUE"""),"New York")</f>
        <v>New York</v>
      </c>
      <c r="F296" s="14" t="str">
        <f>IFERROR(__xludf.DUMMYFUNCTION("""COMPUTED_VALUE"""),"East")</f>
        <v>East</v>
      </c>
      <c r="G296" s="14">
        <f>IFERROR(__xludf.DUMMYFUNCTION("""COMPUTED_VALUE"""),464.292)</f>
        <v>464.292</v>
      </c>
      <c r="H296" s="14">
        <f>IFERROR(__xludf.DUMMYFUNCTION("""COMPUTED_VALUE"""),9.0)</f>
        <v>9</v>
      </c>
      <c r="I296" s="14">
        <f>IFERROR(__xludf.DUMMYFUNCTION("""COMPUTED_VALUE"""),-108.3348)</f>
        <v>-108.3348</v>
      </c>
      <c r="J296" s="3"/>
      <c r="K296" s="21"/>
      <c r="L296" s="21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</row>
    <row r="297">
      <c r="A297" s="12"/>
      <c r="B297" s="14" t="str">
        <f>IFERROR(__xludf.DUMMYFUNCTION("""COMPUTED_VALUE"""),"CA-2014-141796")</f>
        <v>CA-2014-141796</v>
      </c>
      <c r="C297" s="22">
        <f>IFERROR(__xludf.DUMMYFUNCTION("""COMPUTED_VALUE"""),41811.0)</f>
        <v>41811</v>
      </c>
      <c r="D297" s="14" t="str">
        <f>IFERROR(__xludf.DUMMYFUNCTION("""COMPUTED_VALUE"""),"Consumer")</f>
        <v>Consumer</v>
      </c>
      <c r="E297" s="14" t="str">
        <f>IFERROR(__xludf.DUMMYFUNCTION("""COMPUTED_VALUE"""),"New York")</f>
        <v>New York</v>
      </c>
      <c r="F297" s="14" t="str">
        <f>IFERROR(__xludf.DUMMYFUNCTION("""COMPUTED_VALUE"""),"East")</f>
        <v>East</v>
      </c>
      <c r="G297" s="14">
        <f>IFERROR(__xludf.DUMMYFUNCTION("""COMPUTED_VALUE"""),1214.85)</f>
        <v>1214.85</v>
      </c>
      <c r="H297" s="14">
        <f>IFERROR(__xludf.DUMMYFUNCTION("""COMPUTED_VALUE"""),3.0)</f>
        <v>3</v>
      </c>
      <c r="I297" s="14">
        <f>IFERROR(__xludf.DUMMYFUNCTION("""COMPUTED_VALUE"""),352.3065)</f>
        <v>352.3065</v>
      </c>
      <c r="J297" s="3"/>
      <c r="K297" s="21"/>
      <c r="L297" s="21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</row>
    <row r="298">
      <c r="A298" s="12"/>
      <c r="B298" s="14" t="str">
        <f>IFERROR(__xludf.DUMMYFUNCTION("""COMPUTED_VALUE"""),"US-2014-121566")</f>
        <v>US-2014-121566</v>
      </c>
      <c r="C298" s="22">
        <f>IFERROR(__xludf.DUMMYFUNCTION("""COMPUTED_VALUE"""),41820.0)</f>
        <v>41820</v>
      </c>
      <c r="D298" s="14" t="str">
        <f>IFERROR(__xludf.DUMMYFUNCTION("""COMPUTED_VALUE"""),"Consumer")</f>
        <v>Consumer</v>
      </c>
      <c r="E298" s="14" t="str">
        <f>IFERROR(__xludf.DUMMYFUNCTION("""COMPUTED_VALUE"""),"New York")</f>
        <v>New York</v>
      </c>
      <c r="F298" s="14" t="str">
        <f>IFERROR(__xludf.DUMMYFUNCTION("""COMPUTED_VALUE"""),"East")</f>
        <v>East</v>
      </c>
      <c r="G298" s="14">
        <f>IFERROR(__xludf.DUMMYFUNCTION("""COMPUTED_VALUE"""),2.688)</f>
        <v>2.688</v>
      </c>
      <c r="H298" s="14">
        <f>IFERROR(__xludf.DUMMYFUNCTION("""COMPUTED_VALUE"""),1.0)</f>
        <v>1</v>
      </c>
      <c r="I298" s="14">
        <f>IFERROR(__xludf.DUMMYFUNCTION("""COMPUTED_VALUE"""),0.84)</f>
        <v>0.84</v>
      </c>
      <c r="J298" s="3"/>
      <c r="K298" s="21"/>
      <c r="L298" s="21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</row>
    <row r="299">
      <c r="A299" s="12"/>
      <c r="B299" s="14" t="str">
        <f>IFERROR(__xludf.DUMMYFUNCTION("""COMPUTED_VALUE"""),"CA-2014-121006")</f>
        <v>CA-2014-121006</v>
      </c>
      <c r="C299" s="23">
        <f>IFERROR(__xludf.DUMMYFUNCTION("""COMPUTED_VALUE"""),41953.0)</f>
        <v>41953</v>
      </c>
      <c r="D299" s="14" t="str">
        <f>IFERROR(__xludf.DUMMYFUNCTION("""COMPUTED_VALUE"""),"Consumer")</f>
        <v>Consumer</v>
      </c>
      <c r="E299" s="14" t="str">
        <f>IFERROR(__xludf.DUMMYFUNCTION("""COMPUTED_VALUE"""),"Michigan")</f>
        <v>Michigan</v>
      </c>
      <c r="F299" s="14" t="str">
        <f>IFERROR(__xludf.DUMMYFUNCTION("""COMPUTED_VALUE"""),"Central")</f>
        <v>Central</v>
      </c>
      <c r="G299" s="14">
        <f>IFERROR(__xludf.DUMMYFUNCTION("""COMPUTED_VALUE"""),3.9)</f>
        <v>3.9</v>
      </c>
      <c r="H299" s="14">
        <f>IFERROR(__xludf.DUMMYFUNCTION("""COMPUTED_VALUE"""),2.0)</f>
        <v>2</v>
      </c>
      <c r="I299" s="14">
        <f>IFERROR(__xludf.DUMMYFUNCTION("""COMPUTED_VALUE"""),1.521)</f>
        <v>1.521</v>
      </c>
      <c r="J299" s="3"/>
      <c r="K299" s="21"/>
      <c r="L299" s="21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</row>
    <row r="300">
      <c r="A300" s="12"/>
      <c r="B300" s="14" t="str">
        <f>IFERROR(__xludf.DUMMYFUNCTION("""COMPUTED_VALUE"""),"CA-2014-159709")</f>
        <v>CA-2014-159709</v>
      </c>
      <c r="C300" s="22">
        <f>IFERROR(__xludf.DUMMYFUNCTION("""COMPUTED_VALUE"""),41769.0)</f>
        <v>41769</v>
      </c>
      <c r="D300" s="14" t="str">
        <f>IFERROR(__xludf.DUMMYFUNCTION("""COMPUTED_VALUE"""),"Consumer")</f>
        <v>Consumer</v>
      </c>
      <c r="E300" s="14" t="str">
        <f>IFERROR(__xludf.DUMMYFUNCTION("""COMPUTED_VALUE"""),"Washington")</f>
        <v>Washington</v>
      </c>
      <c r="F300" s="14" t="str">
        <f>IFERROR(__xludf.DUMMYFUNCTION("""COMPUTED_VALUE"""),"West")</f>
        <v>West</v>
      </c>
      <c r="G300" s="14">
        <f>IFERROR(__xludf.DUMMYFUNCTION("""COMPUTED_VALUE"""),158.13)</f>
        <v>158.13</v>
      </c>
      <c r="H300" s="14">
        <f>IFERROR(__xludf.DUMMYFUNCTION("""COMPUTED_VALUE"""),3.0)</f>
        <v>3</v>
      </c>
      <c r="I300" s="14">
        <f>IFERROR(__xludf.DUMMYFUNCTION("""COMPUTED_VALUE"""),77.4837)</f>
        <v>77.4837</v>
      </c>
      <c r="J300" s="3"/>
      <c r="K300" s="21"/>
      <c r="L300" s="21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</row>
    <row r="301">
      <c r="A301" s="12"/>
      <c r="B301" s="14" t="str">
        <f>IFERROR(__xludf.DUMMYFUNCTION("""COMPUTED_VALUE"""),"CA-2014-166744")</f>
        <v>CA-2014-166744</v>
      </c>
      <c r="C301" s="22">
        <f>IFERROR(__xludf.DUMMYFUNCTION("""COMPUTED_VALUE"""),41902.0)</f>
        <v>41902</v>
      </c>
      <c r="D301" s="14" t="str">
        <f>IFERROR(__xludf.DUMMYFUNCTION("""COMPUTED_VALUE"""),"Consumer")</f>
        <v>Consumer</v>
      </c>
      <c r="E301" s="14" t="str">
        <f>IFERROR(__xludf.DUMMYFUNCTION("""COMPUTED_VALUE"""),"Maryland")</f>
        <v>Maryland</v>
      </c>
      <c r="F301" s="14" t="str">
        <f>IFERROR(__xludf.DUMMYFUNCTION("""COMPUTED_VALUE"""),"East")</f>
        <v>East</v>
      </c>
      <c r="G301" s="14">
        <f>IFERROR(__xludf.DUMMYFUNCTION("""COMPUTED_VALUE"""),164.22)</f>
        <v>164.22</v>
      </c>
      <c r="H301" s="14">
        <f>IFERROR(__xludf.DUMMYFUNCTION("""COMPUTED_VALUE"""),3.0)</f>
        <v>3</v>
      </c>
      <c r="I301" s="14">
        <f>IFERROR(__xludf.DUMMYFUNCTION("""COMPUTED_VALUE"""),50.9082)</f>
        <v>50.9082</v>
      </c>
      <c r="J301" s="3"/>
      <c r="K301" s="21"/>
      <c r="L301" s="21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</row>
    <row r="302">
      <c r="A302" s="12"/>
      <c r="B302" s="14" t="str">
        <f>IFERROR(__xludf.DUMMYFUNCTION("""COMPUTED_VALUE"""),"CA-2014-159681")</f>
        <v>CA-2014-159681</v>
      </c>
      <c r="C302" s="22">
        <f>IFERROR(__xludf.DUMMYFUNCTION("""COMPUTED_VALUE"""),41980.0)</f>
        <v>41980</v>
      </c>
      <c r="D302" s="14" t="str">
        <f>IFERROR(__xludf.DUMMYFUNCTION("""COMPUTED_VALUE"""),"Consumer")</f>
        <v>Consumer</v>
      </c>
      <c r="E302" s="14" t="str">
        <f>IFERROR(__xludf.DUMMYFUNCTION("""COMPUTED_VALUE"""),"Virginia")</f>
        <v>Virginia</v>
      </c>
      <c r="F302" s="14" t="str">
        <f>IFERROR(__xludf.DUMMYFUNCTION("""COMPUTED_VALUE"""),"South")</f>
        <v>South</v>
      </c>
      <c r="G302" s="14">
        <f>IFERROR(__xludf.DUMMYFUNCTION("""COMPUTED_VALUE"""),105.52)</f>
        <v>105.52</v>
      </c>
      <c r="H302" s="14">
        <f>IFERROR(__xludf.DUMMYFUNCTION("""COMPUTED_VALUE"""),4.0)</f>
        <v>4</v>
      </c>
      <c r="I302" s="14">
        <f>IFERROR(__xludf.DUMMYFUNCTION("""COMPUTED_VALUE"""),48.5392)</f>
        <v>48.5392</v>
      </c>
      <c r="J302" s="3"/>
      <c r="K302" s="21"/>
      <c r="L302" s="21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</row>
    <row r="303">
      <c r="A303" s="12"/>
      <c r="B303" s="14" t="str">
        <f>IFERROR(__xludf.DUMMYFUNCTION("""COMPUTED_VALUE"""),"CA-2014-146283")</f>
        <v>CA-2014-146283</v>
      </c>
      <c r="C303" s="22">
        <f>IFERROR(__xludf.DUMMYFUNCTION("""COMPUTED_VALUE"""),41890.0)</f>
        <v>41890</v>
      </c>
      <c r="D303" s="14" t="str">
        <f>IFERROR(__xludf.DUMMYFUNCTION("""COMPUTED_VALUE"""),"Consumer")</f>
        <v>Consumer</v>
      </c>
      <c r="E303" s="14" t="str">
        <f>IFERROR(__xludf.DUMMYFUNCTION("""COMPUTED_VALUE"""),"Texas")</f>
        <v>Texas</v>
      </c>
      <c r="F303" s="14" t="str">
        <f>IFERROR(__xludf.DUMMYFUNCTION("""COMPUTED_VALUE"""),"Central")</f>
        <v>Central</v>
      </c>
      <c r="G303" s="14">
        <f>IFERROR(__xludf.DUMMYFUNCTION("""COMPUTED_VALUE"""),17.904)</f>
        <v>17.904</v>
      </c>
      <c r="H303" s="14">
        <f>IFERROR(__xludf.DUMMYFUNCTION("""COMPUTED_VALUE"""),2.0)</f>
        <v>2</v>
      </c>
      <c r="I303" s="14">
        <f>IFERROR(__xludf.DUMMYFUNCTION("""COMPUTED_VALUE"""),6.2664)</f>
        <v>6.2664</v>
      </c>
      <c r="J303" s="3"/>
      <c r="K303" s="21"/>
      <c r="L303" s="21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</row>
    <row r="304">
      <c r="A304" s="12"/>
      <c r="B304" s="14" t="str">
        <f>IFERROR(__xludf.DUMMYFUNCTION("""COMPUTED_VALUE"""),"US-2014-139500")</f>
        <v>US-2014-139500</v>
      </c>
      <c r="C304" s="23">
        <f>IFERROR(__xludf.DUMMYFUNCTION("""COMPUTED_VALUE"""),41959.0)</f>
        <v>41959</v>
      </c>
      <c r="D304" s="14" t="str">
        <f>IFERROR(__xludf.DUMMYFUNCTION("""COMPUTED_VALUE"""),"Consumer")</f>
        <v>Consumer</v>
      </c>
      <c r="E304" s="14" t="str">
        <f>IFERROR(__xludf.DUMMYFUNCTION("""COMPUTED_VALUE"""),"Illinois")</f>
        <v>Illinois</v>
      </c>
      <c r="F304" s="14" t="str">
        <f>IFERROR(__xludf.DUMMYFUNCTION("""COMPUTED_VALUE"""),"Central")</f>
        <v>Central</v>
      </c>
      <c r="G304" s="14">
        <f>IFERROR(__xludf.DUMMYFUNCTION("""COMPUTED_VALUE"""),37.296)</f>
        <v>37.296</v>
      </c>
      <c r="H304" s="14">
        <f>IFERROR(__xludf.DUMMYFUNCTION("""COMPUTED_VALUE"""),2.0)</f>
        <v>2</v>
      </c>
      <c r="I304" s="14">
        <f>IFERROR(__xludf.DUMMYFUNCTION("""COMPUTED_VALUE"""),-1.0656)</f>
        <v>-1.0656</v>
      </c>
      <c r="J304" s="3"/>
      <c r="K304" s="21"/>
      <c r="L304" s="21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</row>
    <row r="305">
      <c r="A305" s="12"/>
      <c r="B305" s="14" t="str">
        <f>IFERROR(__xludf.DUMMYFUNCTION("""COMPUTED_VALUE"""),"CA-2014-130813")</f>
        <v>CA-2014-130813</v>
      </c>
      <c r="C305" s="22">
        <f>IFERROR(__xludf.DUMMYFUNCTION("""COMPUTED_VALUE"""),41645.0)</f>
        <v>41645</v>
      </c>
      <c r="D305" s="14" t="str">
        <f>IFERROR(__xludf.DUMMYFUNCTION("""COMPUTED_VALUE"""),"Consumer")</f>
        <v>Consumer</v>
      </c>
      <c r="E305" s="14" t="str">
        <f>IFERROR(__xludf.DUMMYFUNCTION("""COMPUTED_VALUE"""),"California")</f>
        <v>California</v>
      </c>
      <c r="F305" s="14" t="str">
        <f>IFERROR(__xludf.DUMMYFUNCTION("""COMPUTED_VALUE"""),"West")</f>
        <v>West</v>
      </c>
      <c r="G305" s="14">
        <f>IFERROR(__xludf.DUMMYFUNCTION("""COMPUTED_VALUE"""),19.44)</f>
        <v>19.44</v>
      </c>
      <c r="H305" s="14">
        <f>IFERROR(__xludf.DUMMYFUNCTION("""COMPUTED_VALUE"""),3.0)</f>
        <v>3</v>
      </c>
      <c r="I305" s="14">
        <f>IFERROR(__xludf.DUMMYFUNCTION("""COMPUTED_VALUE"""),9.3312)</f>
        <v>9.3312</v>
      </c>
      <c r="J305" s="3"/>
      <c r="K305" s="21"/>
      <c r="L305" s="21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</row>
    <row r="306">
      <c r="A306" s="12"/>
      <c r="B306" s="14" t="str">
        <f>IFERROR(__xludf.DUMMYFUNCTION("""COMPUTED_VALUE"""),"CA-2014-103331")</f>
        <v>CA-2014-103331</v>
      </c>
      <c r="C306" s="22">
        <f>IFERROR(__xludf.DUMMYFUNCTION("""COMPUTED_VALUE"""),41877.0)</f>
        <v>41877</v>
      </c>
      <c r="D306" s="14" t="str">
        <f>IFERROR(__xludf.DUMMYFUNCTION("""COMPUTED_VALUE"""),"Consumer")</f>
        <v>Consumer</v>
      </c>
      <c r="E306" s="14" t="str">
        <f>IFERROR(__xludf.DUMMYFUNCTION("""COMPUTED_VALUE"""),"Delaware")</f>
        <v>Delaware</v>
      </c>
      <c r="F306" s="14" t="str">
        <f>IFERROR(__xludf.DUMMYFUNCTION("""COMPUTED_VALUE"""),"East")</f>
        <v>East</v>
      </c>
      <c r="G306" s="14">
        <f>IFERROR(__xludf.DUMMYFUNCTION("""COMPUTED_VALUE"""),10.68)</f>
        <v>10.68</v>
      </c>
      <c r="H306" s="14">
        <f>IFERROR(__xludf.DUMMYFUNCTION("""COMPUTED_VALUE"""),4.0)</f>
        <v>4</v>
      </c>
      <c r="I306" s="14">
        <f>IFERROR(__xludf.DUMMYFUNCTION("""COMPUTED_VALUE"""),4.0584)</f>
        <v>4.0584</v>
      </c>
      <c r="J306" s="3"/>
      <c r="K306" s="21"/>
      <c r="L306" s="21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</row>
    <row r="307">
      <c r="A307" s="12"/>
      <c r="B307" s="14" t="str">
        <f>IFERROR(__xludf.DUMMYFUNCTION("""COMPUTED_VALUE"""),"CA-2014-150490")</f>
        <v>CA-2014-150490</v>
      </c>
      <c r="C307" s="22">
        <f>IFERROR(__xludf.DUMMYFUNCTION("""COMPUTED_VALUE"""),41856.0)</f>
        <v>41856</v>
      </c>
      <c r="D307" s="14" t="str">
        <f>IFERROR(__xludf.DUMMYFUNCTION("""COMPUTED_VALUE"""),"Consumer")</f>
        <v>Consumer</v>
      </c>
      <c r="E307" s="14" t="str">
        <f>IFERROR(__xludf.DUMMYFUNCTION("""COMPUTED_VALUE"""),"California")</f>
        <v>California</v>
      </c>
      <c r="F307" s="14" t="str">
        <f>IFERROR(__xludf.DUMMYFUNCTION("""COMPUTED_VALUE"""),"West")</f>
        <v>West</v>
      </c>
      <c r="G307" s="14">
        <f>IFERROR(__xludf.DUMMYFUNCTION("""COMPUTED_VALUE"""),16.36)</f>
        <v>16.36</v>
      </c>
      <c r="H307" s="14">
        <f>IFERROR(__xludf.DUMMYFUNCTION("""COMPUTED_VALUE"""),1.0)</f>
        <v>1</v>
      </c>
      <c r="I307" s="14">
        <f>IFERROR(__xludf.DUMMYFUNCTION("""COMPUTED_VALUE"""),1.636)</f>
        <v>1.636</v>
      </c>
      <c r="J307" s="3"/>
      <c r="K307" s="21"/>
      <c r="L307" s="21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</row>
    <row r="308">
      <c r="A308" s="12"/>
      <c r="B308" s="14" t="str">
        <f>IFERROR(__xludf.DUMMYFUNCTION("""COMPUTED_VALUE"""),"CA-2014-136861")</f>
        <v>CA-2014-136861</v>
      </c>
      <c r="C308" s="22">
        <f>IFERROR(__xludf.DUMMYFUNCTION("""COMPUTED_VALUE"""),41887.0)</f>
        <v>41887</v>
      </c>
      <c r="D308" s="14" t="str">
        <f>IFERROR(__xludf.DUMMYFUNCTION("""COMPUTED_VALUE"""),"Consumer")</f>
        <v>Consumer</v>
      </c>
      <c r="E308" s="14" t="str">
        <f>IFERROR(__xludf.DUMMYFUNCTION("""COMPUTED_VALUE"""),"Florida")</f>
        <v>Florida</v>
      </c>
      <c r="F308" s="14" t="str">
        <f>IFERROR(__xludf.DUMMYFUNCTION("""COMPUTED_VALUE"""),"South")</f>
        <v>South</v>
      </c>
      <c r="G308" s="14">
        <f>IFERROR(__xludf.DUMMYFUNCTION("""COMPUTED_VALUE"""),31.984)</f>
        <v>31.984</v>
      </c>
      <c r="H308" s="14">
        <f>IFERROR(__xludf.DUMMYFUNCTION("""COMPUTED_VALUE"""),2.0)</f>
        <v>2</v>
      </c>
      <c r="I308" s="14">
        <f>IFERROR(__xludf.DUMMYFUNCTION("""COMPUTED_VALUE"""),1.999)</f>
        <v>1.999</v>
      </c>
      <c r="J308" s="3"/>
      <c r="K308" s="21"/>
      <c r="L308" s="21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</row>
    <row r="309">
      <c r="A309" s="12"/>
      <c r="B309" s="14" t="str">
        <f>IFERROR(__xludf.DUMMYFUNCTION("""COMPUTED_VALUE"""),"CA-2014-146591")</f>
        <v>CA-2014-146591</v>
      </c>
      <c r="C309" s="22">
        <f>IFERROR(__xludf.DUMMYFUNCTION("""COMPUTED_VALUE"""),41658.0)</f>
        <v>41658</v>
      </c>
      <c r="D309" s="14" t="str">
        <f>IFERROR(__xludf.DUMMYFUNCTION("""COMPUTED_VALUE"""),"Consumer")</f>
        <v>Consumer</v>
      </c>
      <c r="E309" s="14" t="str">
        <f>IFERROR(__xludf.DUMMYFUNCTION("""COMPUTED_VALUE"""),"Arizona")</f>
        <v>Arizona</v>
      </c>
      <c r="F309" s="14" t="str">
        <f>IFERROR(__xludf.DUMMYFUNCTION("""COMPUTED_VALUE"""),"West")</f>
        <v>West</v>
      </c>
      <c r="G309" s="14">
        <f>IFERROR(__xludf.DUMMYFUNCTION("""COMPUTED_VALUE"""),32.34)</f>
        <v>32.34</v>
      </c>
      <c r="H309" s="14">
        <f>IFERROR(__xludf.DUMMYFUNCTION("""COMPUTED_VALUE"""),10.0)</f>
        <v>10</v>
      </c>
      <c r="I309" s="14">
        <f>IFERROR(__xludf.DUMMYFUNCTION("""COMPUTED_VALUE"""),-23.716)</f>
        <v>-23.716</v>
      </c>
      <c r="J309" s="3"/>
      <c r="K309" s="21"/>
      <c r="L309" s="21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</row>
    <row r="310">
      <c r="A310" s="12"/>
      <c r="B310" s="14" t="str">
        <f>IFERROR(__xludf.DUMMYFUNCTION("""COMPUTED_VALUE"""),"CA-2014-107706")</f>
        <v>CA-2014-107706</v>
      </c>
      <c r="C310" s="22">
        <f>IFERROR(__xludf.DUMMYFUNCTION("""COMPUTED_VALUE"""),41684.0)</f>
        <v>41684</v>
      </c>
      <c r="D310" s="14" t="str">
        <f>IFERROR(__xludf.DUMMYFUNCTION("""COMPUTED_VALUE"""),"Consumer")</f>
        <v>Consumer</v>
      </c>
      <c r="E310" s="14" t="str">
        <f>IFERROR(__xludf.DUMMYFUNCTION("""COMPUTED_VALUE"""),"Texas")</f>
        <v>Texas</v>
      </c>
      <c r="F310" s="14" t="str">
        <f>IFERROR(__xludf.DUMMYFUNCTION("""COMPUTED_VALUE"""),"Central")</f>
        <v>Central</v>
      </c>
      <c r="G310" s="14">
        <f>IFERROR(__xludf.DUMMYFUNCTION("""COMPUTED_VALUE"""),16.176)</f>
        <v>16.176</v>
      </c>
      <c r="H310" s="14">
        <f>IFERROR(__xludf.DUMMYFUNCTION("""COMPUTED_VALUE"""),3.0)</f>
        <v>3</v>
      </c>
      <c r="I310" s="14">
        <f>IFERROR(__xludf.DUMMYFUNCTION("""COMPUTED_VALUE"""),6.066)</f>
        <v>6.066</v>
      </c>
      <c r="J310" s="3"/>
      <c r="K310" s="21"/>
      <c r="L310" s="21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</row>
    <row r="311">
      <c r="A311" s="12"/>
      <c r="B311" s="14" t="str">
        <f>IFERROR(__xludf.DUMMYFUNCTION("""COMPUTED_VALUE"""),"CA-2014-107573")</f>
        <v>CA-2014-107573</v>
      </c>
      <c r="C311" s="23">
        <f>IFERROR(__xludf.DUMMYFUNCTION("""COMPUTED_VALUE"""),41985.0)</f>
        <v>41985</v>
      </c>
      <c r="D311" s="14" t="str">
        <f>IFERROR(__xludf.DUMMYFUNCTION("""COMPUTED_VALUE"""),"Consumer")</f>
        <v>Consumer</v>
      </c>
      <c r="E311" s="14" t="str">
        <f>IFERROR(__xludf.DUMMYFUNCTION("""COMPUTED_VALUE"""),"Florida")</f>
        <v>Florida</v>
      </c>
      <c r="F311" s="14" t="str">
        <f>IFERROR(__xludf.DUMMYFUNCTION("""COMPUTED_VALUE"""),"South")</f>
        <v>South</v>
      </c>
      <c r="G311" s="14">
        <f>IFERROR(__xludf.DUMMYFUNCTION("""COMPUTED_VALUE"""),23.472)</f>
        <v>23.472</v>
      </c>
      <c r="H311" s="14">
        <f>IFERROR(__xludf.DUMMYFUNCTION("""COMPUTED_VALUE"""),3.0)</f>
        <v>3</v>
      </c>
      <c r="I311" s="14">
        <f>IFERROR(__xludf.DUMMYFUNCTION("""COMPUTED_VALUE"""),7.6284)</f>
        <v>7.6284</v>
      </c>
      <c r="J311" s="3"/>
      <c r="K311" s="21"/>
      <c r="L311" s="21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</row>
    <row r="312">
      <c r="A312" s="12"/>
      <c r="B312" s="14" t="str">
        <f>IFERROR(__xludf.DUMMYFUNCTION("""COMPUTED_VALUE"""),"US-2014-137680")</f>
        <v>US-2014-137680</v>
      </c>
      <c r="C312" s="22">
        <f>IFERROR(__xludf.DUMMYFUNCTION("""COMPUTED_VALUE"""),41694.0)</f>
        <v>41694</v>
      </c>
      <c r="D312" s="14" t="str">
        <f>IFERROR(__xludf.DUMMYFUNCTION("""COMPUTED_VALUE"""),"Consumer")</f>
        <v>Consumer</v>
      </c>
      <c r="E312" s="14" t="str">
        <f>IFERROR(__xludf.DUMMYFUNCTION("""COMPUTED_VALUE"""),"Oregon")</f>
        <v>Oregon</v>
      </c>
      <c r="F312" s="14" t="str">
        <f>IFERROR(__xludf.DUMMYFUNCTION("""COMPUTED_VALUE"""),"West")</f>
        <v>West</v>
      </c>
      <c r="G312" s="14">
        <f>IFERROR(__xludf.DUMMYFUNCTION("""COMPUTED_VALUE"""),32.896)</f>
        <v>32.896</v>
      </c>
      <c r="H312" s="14">
        <f>IFERROR(__xludf.DUMMYFUNCTION("""COMPUTED_VALUE"""),4.0)</f>
        <v>4</v>
      </c>
      <c r="I312" s="14">
        <f>IFERROR(__xludf.DUMMYFUNCTION("""COMPUTED_VALUE"""),11.1024)</f>
        <v>11.1024</v>
      </c>
      <c r="J312" s="3"/>
      <c r="K312" s="21"/>
      <c r="L312" s="21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</row>
    <row r="313">
      <c r="A313" s="12"/>
      <c r="B313" s="14" t="str">
        <f>IFERROR(__xludf.DUMMYFUNCTION("""COMPUTED_VALUE"""),"CA-2014-159800")</f>
        <v>CA-2014-159800</v>
      </c>
      <c r="C313" s="23">
        <f>IFERROR(__xludf.DUMMYFUNCTION("""COMPUTED_VALUE"""),41971.0)</f>
        <v>41971</v>
      </c>
      <c r="D313" s="14" t="str">
        <f>IFERROR(__xludf.DUMMYFUNCTION("""COMPUTED_VALUE"""),"Consumer")</f>
        <v>Consumer</v>
      </c>
      <c r="E313" s="14" t="str">
        <f>IFERROR(__xludf.DUMMYFUNCTION("""COMPUTED_VALUE"""),"California")</f>
        <v>California</v>
      </c>
      <c r="F313" s="14" t="str">
        <f>IFERROR(__xludf.DUMMYFUNCTION("""COMPUTED_VALUE"""),"West")</f>
        <v>West</v>
      </c>
      <c r="G313" s="14">
        <f>IFERROR(__xludf.DUMMYFUNCTION("""COMPUTED_VALUE"""),43.68)</f>
        <v>43.68</v>
      </c>
      <c r="H313" s="14">
        <f>IFERROR(__xludf.DUMMYFUNCTION("""COMPUTED_VALUE"""),3.0)</f>
        <v>3</v>
      </c>
      <c r="I313" s="14">
        <f>IFERROR(__xludf.DUMMYFUNCTION("""COMPUTED_VALUE"""),11.7936)</f>
        <v>11.7936</v>
      </c>
      <c r="J313" s="3"/>
      <c r="K313" s="21"/>
      <c r="L313" s="21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</row>
    <row r="314">
      <c r="A314" s="12"/>
      <c r="B314" s="14" t="str">
        <f>IFERROR(__xludf.DUMMYFUNCTION("""COMPUTED_VALUE"""),"CA-2014-116673")</f>
        <v>CA-2014-116673</v>
      </c>
      <c r="C314" s="23">
        <f>IFERROR(__xludf.DUMMYFUNCTION("""COMPUTED_VALUE"""),41988.0)</f>
        <v>41988</v>
      </c>
      <c r="D314" s="14" t="str">
        <f>IFERROR(__xludf.DUMMYFUNCTION("""COMPUTED_VALUE"""),"Consumer")</f>
        <v>Consumer</v>
      </c>
      <c r="E314" s="14" t="str">
        <f>IFERROR(__xludf.DUMMYFUNCTION("""COMPUTED_VALUE"""),"California")</f>
        <v>California</v>
      </c>
      <c r="F314" s="14" t="str">
        <f>IFERROR(__xludf.DUMMYFUNCTION("""COMPUTED_VALUE"""),"West")</f>
        <v>West</v>
      </c>
      <c r="G314" s="14">
        <f>IFERROR(__xludf.DUMMYFUNCTION("""COMPUTED_VALUE"""),6.16)</f>
        <v>6.16</v>
      </c>
      <c r="H314" s="14">
        <f>IFERROR(__xludf.DUMMYFUNCTION("""COMPUTED_VALUE"""),2.0)</f>
        <v>2</v>
      </c>
      <c r="I314" s="14">
        <f>IFERROR(__xludf.DUMMYFUNCTION("""COMPUTED_VALUE"""),1.9712)</f>
        <v>1.9712</v>
      </c>
      <c r="J314" s="3"/>
      <c r="K314" s="21"/>
      <c r="L314" s="21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</row>
    <row r="315">
      <c r="A315" s="12"/>
      <c r="B315" s="14" t="str">
        <f>IFERROR(__xludf.DUMMYFUNCTION("""COMPUTED_VALUE"""),"CA-2014-108903")</f>
        <v>CA-2014-108903</v>
      </c>
      <c r="C315" s="22">
        <f>IFERROR(__xludf.DUMMYFUNCTION("""COMPUTED_VALUE"""),41915.0)</f>
        <v>41915</v>
      </c>
      <c r="D315" s="14" t="str">
        <f>IFERROR(__xludf.DUMMYFUNCTION("""COMPUTED_VALUE"""),"Consumer")</f>
        <v>Consumer</v>
      </c>
      <c r="E315" s="14" t="str">
        <f>IFERROR(__xludf.DUMMYFUNCTION("""COMPUTED_VALUE"""),"Ohio")</f>
        <v>Ohio</v>
      </c>
      <c r="F315" s="14" t="str">
        <f>IFERROR(__xludf.DUMMYFUNCTION("""COMPUTED_VALUE"""),"East")</f>
        <v>East</v>
      </c>
      <c r="G315" s="14">
        <f>IFERROR(__xludf.DUMMYFUNCTION("""COMPUTED_VALUE"""),55.984)</f>
        <v>55.984</v>
      </c>
      <c r="H315" s="14">
        <f>IFERROR(__xludf.DUMMYFUNCTION("""COMPUTED_VALUE"""),2.0)</f>
        <v>2</v>
      </c>
      <c r="I315" s="14">
        <f>IFERROR(__xludf.DUMMYFUNCTION("""COMPUTED_VALUE"""),4.1988)</f>
        <v>4.1988</v>
      </c>
      <c r="J315" s="3"/>
      <c r="K315" s="21"/>
      <c r="L315" s="21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</row>
    <row r="316">
      <c r="A316" s="12"/>
      <c r="B316" s="14" t="str">
        <f>IFERROR(__xludf.DUMMYFUNCTION("""COMPUTED_VALUE"""),"CA-2014-127614")</f>
        <v>CA-2014-127614</v>
      </c>
      <c r="C316" s="22">
        <f>IFERROR(__xludf.DUMMYFUNCTION("""COMPUTED_VALUE"""),41681.0)</f>
        <v>41681</v>
      </c>
      <c r="D316" s="14" t="str">
        <f>IFERROR(__xludf.DUMMYFUNCTION("""COMPUTED_VALUE"""),"Consumer")</f>
        <v>Consumer</v>
      </c>
      <c r="E316" s="14" t="str">
        <f>IFERROR(__xludf.DUMMYFUNCTION("""COMPUTED_VALUE"""),"Virginia")</f>
        <v>Virginia</v>
      </c>
      <c r="F316" s="14" t="str">
        <f>IFERROR(__xludf.DUMMYFUNCTION("""COMPUTED_VALUE"""),"South")</f>
        <v>South</v>
      </c>
      <c r="G316" s="14">
        <f>IFERROR(__xludf.DUMMYFUNCTION("""COMPUTED_VALUE"""),234.45)</f>
        <v>234.45</v>
      </c>
      <c r="H316" s="14">
        <f>IFERROR(__xludf.DUMMYFUNCTION("""COMPUTED_VALUE"""),3.0)</f>
        <v>3</v>
      </c>
      <c r="I316" s="14">
        <f>IFERROR(__xludf.DUMMYFUNCTION("""COMPUTED_VALUE"""),103.158)</f>
        <v>103.158</v>
      </c>
      <c r="J316" s="3"/>
      <c r="K316" s="21"/>
      <c r="L316" s="21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</row>
    <row r="317">
      <c r="A317" s="12"/>
      <c r="B317" s="14" t="str">
        <f>IFERROR(__xludf.DUMMYFUNCTION("""COMPUTED_VALUE"""),"CA-2014-154893")</f>
        <v>CA-2014-154893</v>
      </c>
      <c r="C317" s="23">
        <f>IFERROR(__xludf.DUMMYFUNCTION("""COMPUTED_VALUE"""),41994.0)</f>
        <v>41994</v>
      </c>
      <c r="D317" s="14" t="str">
        <f>IFERROR(__xludf.DUMMYFUNCTION("""COMPUTED_VALUE"""),"Consumer")</f>
        <v>Consumer</v>
      </c>
      <c r="E317" s="14" t="str">
        <f>IFERROR(__xludf.DUMMYFUNCTION("""COMPUTED_VALUE"""),"California")</f>
        <v>California</v>
      </c>
      <c r="F317" s="14" t="str">
        <f>IFERROR(__xludf.DUMMYFUNCTION("""COMPUTED_VALUE"""),"West")</f>
        <v>West</v>
      </c>
      <c r="G317" s="14">
        <f>IFERROR(__xludf.DUMMYFUNCTION("""COMPUTED_VALUE"""),1325.76)</f>
        <v>1325.76</v>
      </c>
      <c r="H317" s="14">
        <f>IFERROR(__xludf.DUMMYFUNCTION("""COMPUTED_VALUE"""),6.0)</f>
        <v>6</v>
      </c>
      <c r="I317" s="14">
        <f>IFERROR(__xludf.DUMMYFUNCTION("""COMPUTED_VALUE"""),149.148)</f>
        <v>149.148</v>
      </c>
      <c r="J317" s="3"/>
      <c r="K317" s="21"/>
      <c r="L317" s="21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</row>
    <row r="318">
      <c r="A318" s="12"/>
      <c r="B318" s="14" t="str">
        <f>IFERROR(__xludf.DUMMYFUNCTION("""COMPUTED_VALUE"""),"CA-2014-126802")</f>
        <v>CA-2014-126802</v>
      </c>
      <c r="C318" s="23">
        <f>IFERROR(__xludf.DUMMYFUNCTION("""COMPUTED_VALUE"""),42002.0)</f>
        <v>42002</v>
      </c>
      <c r="D318" s="14" t="str">
        <f>IFERROR(__xludf.DUMMYFUNCTION("""COMPUTED_VALUE"""),"Consumer")</f>
        <v>Consumer</v>
      </c>
      <c r="E318" s="14" t="str">
        <f>IFERROR(__xludf.DUMMYFUNCTION("""COMPUTED_VALUE"""),"Illinois")</f>
        <v>Illinois</v>
      </c>
      <c r="F318" s="14" t="str">
        <f>IFERROR(__xludf.DUMMYFUNCTION("""COMPUTED_VALUE"""),"Central")</f>
        <v>Central</v>
      </c>
      <c r="G318" s="14">
        <f>IFERROR(__xludf.DUMMYFUNCTION("""COMPUTED_VALUE"""),38.976)</f>
        <v>38.976</v>
      </c>
      <c r="H318" s="14">
        <f>IFERROR(__xludf.DUMMYFUNCTION("""COMPUTED_VALUE"""),3.0)</f>
        <v>3</v>
      </c>
      <c r="I318" s="14">
        <f>IFERROR(__xludf.DUMMYFUNCTION("""COMPUTED_VALUE"""),-50.6688)</f>
        <v>-50.6688</v>
      </c>
      <c r="J318" s="3"/>
      <c r="K318" s="21"/>
      <c r="L318" s="21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</row>
    <row r="319">
      <c r="A319" s="12"/>
      <c r="B319" s="14" t="str">
        <f>IFERROR(__xludf.DUMMYFUNCTION("""COMPUTED_VALUE"""),"CA-2014-164315")</f>
        <v>CA-2014-164315</v>
      </c>
      <c r="C319" s="22">
        <f>IFERROR(__xludf.DUMMYFUNCTION("""COMPUTED_VALUE"""),41731.0)</f>
        <v>41731</v>
      </c>
      <c r="D319" s="14" t="str">
        <f>IFERROR(__xludf.DUMMYFUNCTION("""COMPUTED_VALUE"""),"Consumer")</f>
        <v>Consumer</v>
      </c>
      <c r="E319" s="14" t="str">
        <f>IFERROR(__xludf.DUMMYFUNCTION("""COMPUTED_VALUE"""),"Georgia")</f>
        <v>Georgia</v>
      </c>
      <c r="F319" s="14" t="str">
        <f>IFERROR(__xludf.DUMMYFUNCTION("""COMPUTED_VALUE"""),"South")</f>
        <v>South</v>
      </c>
      <c r="G319" s="14">
        <f>IFERROR(__xludf.DUMMYFUNCTION("""COMPUTED_VALUE"""),15.84)</f>
        <v>15.84</v>
      </c>
      <c r="H319" s="14">
        <f>IFERROR(__xludf.DUMMYFUNCTION("""COMPUTED_VALUE"""),3.0)</f>
        <v>3</v>
      </c>
      <c r="I319" s="14">
        <f>IFERROR(__xludf.DUMMYFUNCTION("""COMPUTED_VALUE"""),7.128)</f>
        <v>7.128</v>
      </c>
      <c r="J319" s="3"/>
      <c r="K319" s="21"/>
      <c r="L319" s="21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</row>
    <row r="320">
      <c r="A320" s="12"/>
      <c r="B320" s="14" t="str">
        <f>IFERROR(__xludf.DUMMYFUNCTION("""COMPUTED_VALUE"""),"CA-2014-131541")</f>
        <v>CA-2014-131541</v>
      </c>
      <c r="C320" s="22">
        <f>IFERROR(__xludf.DUMMYFUNCTION("""COMPUTED_VALUE"""),41848.0)</f>
        <v>41848</v>
      </c>
      <c r="D320" s="14" t="str">
        <f>IFERROR(__xludf.DUMMYFUNCTION("""COMPUTED_VALUE"""),"Consumer")</f>
        <v>Consumer</v>
      </c>
      <c r="E320" s="14" t="str">
        <f>IFERROR(__xludf.DUMMYFUNCTION("""COMPUTED_VALUE"""),"Florida")</f>
        <v>Florida</v>
      </c>
      <c r="F320" s="14" t="str">
        <f>IFERROR(__xludf.DUMMYFUNCTION("""COMPUTED_VALUE"""),"South")</f>
        <v>South</v>
      </c>
      <c r="G320" s="14">
        <f>IFERROR(__xludf.DUMMYFUNCTION("""COMPUTED_VALUE"""),14.32)</f>
        <v>14.32</v>
      </c>
      <c r="H320" s="14">
        <f>IFERROR(__xludf.DUMMYFUNCTION("""COMPUTED_VALUE"""),5.0)</f>
        <v>5</v>
      </c>
      <c r="I320" s="14">
        <f>IFERROR(__xludf.DUMMYFUNCTION("""COMPUTED_VALUE"""),5.191)</f>
        <v>5.191</v>
      </c>
      <c r="J320" s="3"/>
      <c r="K320" s="21"/>
      <c r="L320" s="21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</row>
    <row r="321">
      <c r="A321" s="12"/>
      <c r="B321" s="14" t="str">
        <f>IFERROR(__xludf.DUMMYFUNCTION("""COMPUTED_VALUE"""),"US-2014-123519")</f>
        <v>US-2014-123519</v>
      </c>
      <c r="C321" s="23">
        <f>IFERROR(__xludf.DUMMYFUNCTION("""COMPUTED_VALUE"""),41987.0)</f>
        <v>41987</v>
      </c>
      <c r="D321" s="14" t="str">
        <f>IFERROR(__xludf.DUMMYFUNCTION("""COMPUTED_VALUE"""),"Consumer")</f>
        <v>Consumer</v>
      </c>
      <c r="E321" s="14" t="str">
        <f>IFERROR(__xludf.DUMMYFUNCTION("""COMPUTED_VALUE"""),"Ohio")</f>
        <v>Ohio</v>
      </c>
      <c r="F321" s="14" t="str">
        <f>IFERROR(__xludf.DUMMYFUNCTION("""COMPUTED_VALUE"""),"East")</f>
        <v>East</v>
      </c>
      <c r="G321" s="14">
        <f>IFERROR(__xludf.DUMMYFUNCTION("""COMPUTED_VALUE"""),2.624)</f>
        <v>2.624</v>
      </c>
      <c r="H321" s="14">
        <f>IFERROR(__xludf.DUMMYFUNCTION("""COMPUTED_VALUE"""),1.0)</f>
        <v>1</v>
      </c>
      <c r="I321" s="14">
        <f>IFERROR(__xludf.DUMMYFUNCTION("""COMPUTED_VALUE"""),0.2952)</f>
        <v>0.2952</v>
      </c>
      <c r="J321" s="3"/>
      <c r="K321" s="21"/>
      <c r="L321" s="21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</row>
    <row r="322">
      <c r="A322" s="12"/>
      <c r="B322" s="14" t="str">
        <f>IFERROR(__xludf.DUMMYFUNCTION("""COMPUTED_VALUE"""),"CA-2014-155593")</f>
        <v>CA-2014-155593</v>
      </c>
      <c r="C322" s="22">
        <f>IFERROR(__xludf.DUMMYFUNCTION("""COMPUTED_VALUE"""),41946.0)</f>
        <v>41946</v>
      </c>
      <c r="D322" s="14" t="str">
        <f>IFERROR(__xludf.DUMMYFUNCTION("""COMPUTED_VALUE"""),"Consumer")</f>
        <v>Consumer</v>
      </c>
      <c r="E322" s="14" t="str">
        <f>IFERROR(__xludf.DUMMYFUNCTION("""COMPUTED_VALUE"""),"Connecticut")</f>
        <v>Connecticut</v>
      </c>
      <c r="F322" s="14" t="str">
        <f>IFERROR(__xludf.DUMMYFUNCTION("""COMPUTED_VALUE"""),"East")</f>
        <v>East</v>
      </c>
      <c r="G322" s="14">
        <f>IFERROR(__xludf.DUMMYFUNCTION("""COMPUTED_VALUE"""),11.64)</f>
        <v>11.64</v>
      </c>
      <c r="H322" s="14">
        <f>IFERROR(__xludf.DUMMYFUNCTION("""COMPUTED_VALUE"""),3.0)</f>
        <v>3</v>
      </c>
      <c r="I322" s="14">
        <f>IFERROR(__xludf.DUMMYFUNCTION("""COMPUTED_VALUE"""),3.3756)</f>
        <v>3.3756</v>
      </c>
      <c r="J322" s="3"/>
      <c r="K322" s="21"/>
      <c r="L322" s="21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</row>
    <row r="323">
      <c r="A323" s="12"/>
      <c r="B323" s="14" t="str">
        <f>IFERROR(__xludf.DUMMYFUNCTION("""COMPUTED_VALUE"""),"CA-2014-111773")</f>
        <v>CA-2014-111773</v>
      </c>
      <c r="C323" s="22">
        <f>IFERROR(__xludf.DUMMYFUNCTION("""COMPUTED_VALUE"""),41819.0)</f>
        <v>41819</v>
      </c>
      <c r="D323" s="14" t="str">
        <f>IFERROR(__xludf.DUMMYFUNCTION("""COMPUTED_VALUE"""),"Consumer")</f>
        <v>Consumer</v>
      </c>
      <c r="E323" s="14" t="str">
        <f>IFERROR(__xludf.DUMMYFUNCTION("""COMPUTED_VALUE"""),"New York")</f>
        <v>New York</v>
      </c>
      <c r="F323" s="14" t="str">
        <f>IFERROR(__xludf.DUMMYFUNCTION("""COMPUTED_VALUE"""),"East")</f>
        <v>East</v>
      </c>
      <c r="G323" s="14">
        <f>IFERROR(__xludf.DUMMYFUNCTION("""COMPUTED_VALUE"""),13.92)</f>
        <v>13.92</v>
      </c>
      <c r="H323" s="14">
        <f>IFERROR(__xludf.DUMMYFUNCTION("""COMPUTED_VALUE"""),3.0)</f>
        <v>3</v>
      </c>
      <c r="I323" s="14">
        <f>IFERROR(__xludf.DUMMYFUNCTION("""COMPUTED_VALUE"""),4.872)</f>
        <v>4.872</v>
      </c>
      <c r="J323" s="3"/>
      <c r="K323" s="21"/>
      <c r="L323" s="21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</row>
    <row r="324">
      <c r="A324" s="12"/>
      <c r="B324" s="14" t="str">
        <f>IFERROR(__xludf.DUMMYFUNCTION("""COMPUTED_VALUE"""),"CA-2014-148614")</f>
        <v>CA-2014-148614</v>
      </c>
      <c r="C324" s="22">
        <f>IFERROR(__xludf.DUMMYFUNCTION("""COMPUTED_VALUE"""),41659.0)</f>
        <v>41659</v>
      </c>
      <c r="D324" s="14" t="str">
        <f>IFERROR(__xludf.DUMMYFUNCTION("""COMPUTED_VALUE"""),"Consumer")</f>
        <v>Consumer</v>
      </c>
      <c r="E324" s="14" t="str">
        <f>IFERROR(__xludf.DUMMYFUNCTION("""COMPUTED_VALUE"""),"California")</f>
        <v>California</v>
      </c>
      <c r="F324" s="14" t="str">
        <f>IFERROR(__xludf.DUMMYFUNCTION("""COMPUTED_VALUE"""),"West")</f>
        <v>West</v>
      </c>
      <c r="G324" s="14">
        <f>IFERROR(__xludf.DUMMYFUNCTION("""COMPUTED_VALUE"""),19.36)</f>
        <v>19.36</v>
      </c>
      <c r="H324" s="14">
        <f>IFERROR(__xludf.DUMMYFUNCTION("""COMPUTED_VALUE"""),2.0)</f>
        <v>2</v>
      </c>
      <c r="I324" s="14">
        <f>IFERROR(__xludf.DUMMYFUNCTION("""COMPUTED_VALUE"""),9.2928)</f>
        <v>9.2928</v>
      </c>
      <c r="J324" s="3"/>
      <c r="K324" s="21"/>
      <c r="L324" s="21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</row>
    <row r="325">
      <c r="A325" s="12"/>
      <c r="B325" s="14" t="str">
        <f>IFERROR(__xludf.DUMMYFUNCTION("""COMPUTED_VALUE"""),"CA-2014-145800")</f>
        <v>CA-2014-145800</v>
      </c>
      <c r="C325" s="22">
        <f>IFERROR(__xludf.DUMMYFUNCTION("""COMPUTED_VALUE"""),41789.0)</f>
        <v>41789</v>
      </c>
      <c r="D325" s="14" t="str">
        <f>IFERROR(__xludf.DUMMYFUNCTION("""COMPUTED_VALUE"""),"Consumer")</f>
        <v>Consumer</v>
      </c>
      <c r="E325" s="14" t="str">
        <f>IFERROR(__xludf.DUMMYFUNCTION("""COMPUTED_VALUE"""),"Illinois")</f>
        <v>Illinois</v>
      </c>
      <c r="F325" s="14" t="str">
        <f>IFERROR(__xludf.DUMMYFUNCTION("""COMPUTED_VALUE"""),"Central")</f>
        <v>Central</v>
      </c>
      <c r="G325" s="14">
        <f>IFERROR(__xludf.DUMMYFUNCTION("""COMPUTED_VALUE"""),355.455)</f>
        <v>355.455</v>
      </c>
      <c r="H325" s="14">
        <f>IFERROR(__xludf.DUMMYFUNCTION("""COMPUTED_VALUE"""),3.0)</f>
        <v>3</v>
      </c>
      <c r="I325" s="14">
        <f>IFERROR(__xludf.DUMMYFUNCTION("""COMPUTED_VALUE"""),-184.8366)</f>
        <v>-184.8366</v>
      </c>
      <c r="J325" s="3"/>
      <c r="K325" s="21"/>
      <c r="L325" s="21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</row>
    <row r="326">
      <c r="A326" s="12"/>
      <c r="B326" s="14" t="str">
        <f>IFERROR(__xludf.DUMMYFUNCTION("""COMPUTED_VALUE"""),"CA-2014-163748")</f>
        <v>CA-2014-163748</v>
      </c>
      <c r="C326" s="23">
        <f>IFERROR(__xludf.DUMMYFUNCTION("""COMPUTED_VALUE"""),41926.0)</f>
        <v>41926</v>
      </c>
      <c r="D326" s="14" t="str">
        <f>IFERROR(__xludf.DUMMYFUNCTION("""COMPUTED_VALUE"""),"Consumer")</f>
        <v>Consumer</v>
      </c>
      <c r="E326" s="14" t="str">
        <f>IFERROR(__xludf.DUMMYFUNCTION("""COMPUTED_VALUE"""),"Texas")</f>
        <v>Texas</v>
      </c>
      <c r="F326" s="14" t="str">
        <f>IFERROR(__xludf.DUMMYFUNCTION("""COMPUTED_VALUE"""),"Central")</f>
        <v>Central</v>
      </c>
      <c r="G326" s="14">
        <f>IFERROR(__xludf.DUMMYFUNCTION("""COMPUTED_VALUE"""),3.16)</f>
        <v>3.16</v>
      </c>
      <c r="H326" s="14">
        <f>IFERROR(__xludf.DUMMYFUNCTION("""COMPUTED_VALUE"""),4.0)</f>
        <v>4</v>
      </c>
      <c r="I326" s="14">
        <f>IFERROR(__xludf.DUMMYFUNCTION("""COMPUTED_VALUE"""),-8.532)</f>
        <v>-8.532</v>
      </c>
      <c r="J326" s="3"/>
      <c r="K326" s="21"/>
      <c r="L326" s="21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</row>
    <row r="327">
      <c r="A327" s="12"/>
      <c r="B327" s="14" t="str">
        <f>IFERROR(__xludf.DUMMYFUNCTION("""COMPUTED_VALUE"""),"US-2014-126340")</f>
        <v>US-2014-126340</v>
      </c>
      <c r="C327" s="22">
        <f>IFERROR(__xludf.DUMMYFUNCTION("""COMPUTED_VALUE"""),41951.0)</f>
        <v>41951</v>
      </c>
      <c r="D327" s="14" t="str">
        <f>IFERROR(__xludf.DUMMYFUNCTION("""COMPUTED_VALUE"""),"Consumer")</f>
        <v>Consumer</v>
      </c>
      <c r="E327" s="14" t="str">
        <f>IFERROR(__xludf.DUMMYFUNCTION("""COMPUTED_VALUE"""),"California")</f>
        <v>California</v>
      </c>
      <c r="F327" s="14" t="str">
        <f>IFERROR(__xludf.DUMMYFUNCTION("""COMPUTED_VALUE"""),"West")</f>
        <v>West</v>
      </c>
      <c r="G327" s="14">
        <f>IFERROR(__xludf.DUMMYFUNCTION("""COMPUTED_VALUE"""),333.576)</f>
        <v>333.576</v>
      </c>
      <c r="H327" s="14">
        <f>IFERROR(__xludf.DUMMYFUNCTION("""COMPUTED_VALUE"""),3.0)</f>
        <v>3</v>
      </c>
      <c r="I327" s="14">
        <f>IFERROR(__xludf.DUMMYFUNCTION("""COMPUTED_VALUE"""),25.0182)</f>
        <v>25.0182</v>
      </c>
      <c r="J327" s="3"/>
      <c r="K327" s="21"/>
      <c r="L327" s="21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</row>
    <row r="328">
      <c r="A328" s="12"/>
      <c r="B328" s="14" t="str">
        <f>IFERROR(__xludf.DUMMYFUNCTION("""COMPUTED_VALUE"""),"CA-2014-105270")</f>
        <v>CA-2014-105270</v>
      </c>
      <c r="C328" s="23">
        <f>IFERROR(__xludf.DUMMYFUNCTION("""COMPUTED_VALUE"""),41954.0)</f>
        <v>41954</v>
      </c>
      <c r="D328" s="14" t="str">
        <f>IFERROR(__xludf.DUMMYFUNCTION("""COMPUTED_VALUE"""),"Consumer")</f>
        <v>Consumer</v>
      </c>
      <c r="E328" s="14" t="str">
        <f>IFERROR(__xludf.DUMMYFUNCTION("""COMPUTED_VALUE"""),"California")</f>
        <v>California</v>
      </c>
      <c r="F328" s="14" t="str">
        <f>IFERROR(__xludf.DUMMYFUNCTION("""COMPUTED_VALUE"""),"West")</f>
        <v>West</v>
      </c>
      <c r="G328" s="14">
        <f>IFERROR(__xludf.DUMMYFUNCTION("""COMPUTED_VALUE"""),30.48)</f>
        <v>30.48</v>
      </c>
      <c r="H328" s="14">
        <f>IFERROR(__xludf.DUMMYFUNCTION("""COMPUTED_VALUE"""),3.0)</f>
        <v>3</v>
      </c>
      <c r="I328" s="14">
        <f>IFERROR(__xludf.DUMMYFUNCTION("""COMPUTED_VALUE"""),7.9248)</f>
        <v>7.9248</v>
      </c>
      <c r="J328" s="3"/>
      <c r="K328" s="21"/>
      <c r="L328" s="21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</row>
    <row r="329">
      <c r="A329" s="12"/>
      <c r="B329" s="14" t="str">
        <f>IFERROR(__xludf.DUMMYFUNCTION("""COMPUTED_VALUE"""),"CA-2014-124856")</f>
        <v>CA-2014-124856</v>
      </c>
      <c r="C329" s="22">
        <f>IFERROR(__xludf.DUMMYFUNCTION("""COMPUTED_VALUE"""),41911.0)</f>
        <v>41911</v>
      </c>
      <c r="D329" s="14" t="str">
        <f>IFERROR(__xludf.DUMMYFUNCTION("""COMPUTED_VALUE"""),"Consumer")</f>
        <v>Consumer</v>
      </c>
      <c r="E329" s="14" t="str">
        <f>IFERROR(__xludf.DUMMYFUNCTION("""COMPUTED_VALUE"""),"New York")</f>
        <v>New York</v>
      </c>
      <c r="F329" s="14" t="str">
        <f>IFERROR(__xludf.DUMMYFUNCTION("""COMPUTED_VALUE"""),"East")</f>
        <v>East</v>
      </c>
      <c r="G329" s="14">
        <f>IFERROR(__xludf.DUMMYFUNCTION("""COMPUTED_VALUE"""),1395.54)</f>
        <v>1395.54</v>
      </c>
      <c r="H329" s="14">
        <f>IFERROR(__xludf.DUMMYFUNCTION("""COMPUTED_VALUE"""),9.0)</f>
        <v>9</v>
      </c>
      <c r="I329" s="14">
        <f>IFERROR(__xludf.DUMMYFUNCTION("""COMPUTED_VALUE"""),362.8404)</f>
        <v>362.8404</v>
      </c>
      <c r="J329" s="3"/>
      <c r="K329" s="21"/>
      <c r="L329" s="21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</row>
    <row r="330">
      <c r="A330" s="12"/>
      <c r="B330" s="14" t="str">
        <f>IFERROR(__xludf.DUMMYFUNCTION("""COMPUTED_VALUE"""),"CA-2014-166716")</f>
        <v>CA-2014-166716</v>
      </c>
      <c r="C330" s="22">
        <f>IFERROR(__xludf.DUMMYFUNCTION("""COMPUTED_VALUE"""),41871.0)</f>
        <v>41871</v>
      </c>
      <c r="D330" s="14" t="str">
        <f>IFERROR(__xludf.DUMMYFUNCTION("""COMPUTED_VALUE"""),"Consumer")</f>
        <v>Consumer</v>
      </c>
      <c r="E330" s="14" t="str">
        <f>IFERROR(__xludf.DUMMYFUNCTION("""COMPUTED_VALUE"""),"Illinois")</f>
        <v>Illinois</v>
      </c>
      <c r="F330" s="14" t="str">
        <f>IFERROR(__xludf.DUMMYFUNCTION("""COMPUTED_VALUE"""),"Central")</f>
        <v>Central</v>
      </c>
      <c r="G330" s="14">
        <f>IFERROR(__xludf.DUMMYFUNCTION("""COMPUTED_VALUE"""),421.372)</f>
        <v>421.372</v>
      </c>
      <c r="H330" s="14">
        <f>IFERROR(__xludf.DUMMYFUNCTION("""COMPUTED_VALUE"""),2.0)</f>
        <v>2</v>
      </c>
      <c r="I330" s="14">
        <f>IFERROR(__xludf.DUMMYFUNCTION("""COMPUTED_VALUE"""),-6.0196)</f>
        <v>-6.0196</v>
      </c>
      <c r="J330" s="3"/>
      <c r="K330" s="21"/>
      <c r="L330" s="21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</row>
    <row r="331">
      <c r="A331" s="12"/>
      <c r="B331" s="14" t="str">
        <f>IFERROR(__xludf.DUMMYFUNCTION("""COMPUTED_VALUE"""),"CA-2014-123225")</f>
        <v>CA-2014-123225</v>
      </c>
      <c r="C331" s="22">
        <f>IFERROR(__xludf.DUMMYFUNCTION("""COMPUTED_VALUE"""),41831.0)</f>
        <v>41831</v>
      </c>
      <c r="D331" s="14" t="str">
        <f>IFERROR(__xludf.DUMMYFUNCTION("""COMPUTED_VALUE"""),"Consumer")</f>
        <v>Consumer</v>
      </c>
      <c r="E331" s="14" t="str">
        <f>IFERROR(__xludf.DUMMYFUNCTION("""COMPUTED_VALUE"""),"Texas")</f>
        <v>Texas</v>
      </c>
      <c r="F331" s="14" t="str">
        <f>IFERROR(__xludf.DUMMYFUNCTION("""COMPUTED_VALUE"""),"Central")</f>
        <v>Central</v>
      </c>
      <c r="G331" s="14">
        <f>IFERROR(__xludf.DUMMYFUNCTION("""COMPUTED_VALUE"""),575.968)</f>
        <v>575.968</v>
      </c>
      <c r="H331" s="14">
        <f>IFERROR(__xludf.DUMMYFUNCTION("""COMPUTED_VALUE"""),4.0)</f>
        <v>4</v>
      </c>
      <c r="I331" s="14">
        <f>IFERROR(__xludf.DUMMYFUNCTION("""COMPUTED_VALUE"""),43.1976)</f>
        <v>43.1976</v>
      </c>
      <c r="J331" s="3"/>
      <c r="K331" s="21"/>
      <c r="L331" s="21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</row>
    <row r="332">
      <c r="A332" s="12"/>
      <c r="B332" s="14" t="str">
        <f>IFERROR(__xludf.DUMMYFUNCTION("""COMPUTED_VALUE"""),"CA-2014-124730")</f>
        <v>CA-2014-124730</v>
      </c>
      <c r="C332" s="23">
        <f>IFERROR(__xludf.DUMMYFUNCTION("""COMPUTED_VALUE"""),41969.0)</f>
        <v>41969</v>
      </c>
      <c r="D332" s="14" t="str">
        <f>IFERROR(__xludf.DUMMYFUNCTION("""COMPUTED_VALUE"""),"Consumer")</f>
        <v>Consumer</v>
      </c>
      <c r="E332" s="14" t="str">
        <f>IFERROR(__xludf.DUMMYFUNCTION("""COMPUTED_VALUE"""),"New York")</f>
        <v>New York</v>
      </c>
      <c r="F332" s="14" t="str">
        <f>IFERROR(__xludf.DUMMYFUNCTION("""COMPUTED_VALUE"""),"East")</f>
        <v>East</v>
      </c>
      <c r="G332" s="14">
        <f>IFERROR(__xludf.DUMMYFUNCTION("""COMPUTED_VALUE"""),279.96)</f>
        <v>279.96</v>
      </c>
      <c r="H332" s="14">
        <f>IFERROR(__xludf.DUMMYFUNCTION("""COMPUTED_VALUE"""),4.0)</f>
        <v>4</v>
      </c>
      <c r="I332" s="14">
        <f>IFERROR(__xludf.DUMMYFUNCTION("""COMPUTED_VALUE"""),78.3888)</f>
        <v>78.3888</v>
      </c>
      <c r="J332" s="3"/>
      <c r="K332" s="21"/>
      <c r="L332" s="21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</row>
    <row r="333">
      <c r="A333" s="12"/>
      <c r="B333" s="14" t="str">
        <f>IFERROR(__xludf.DUMMYFUNCTION("""COMPUTED_VALUE"""),"CA-2014-115056")</f>
        <v>CA-2014-115056</v>
      </c>
      <c r="C333" s="22">
        <f>IFERROR(__xludf.DUMMYFUNCTION("""COMPUTED_VALUE"""),41761.0)</f>
        <v>41761</v>
      </c>
      <c r="D333" s="14" t="str">
        <f>IFERROR(__xludf.DUMMYFUNCTION("""COMPUTED_VALUE"""),"Consumer")</f>
        <v>Consumer</v>
      </c>
      <c r="E333" s="14" t="str">
        <f>IFERROR(__xludf.DUMMYFUNCTION("""COMPUTED_VALUE"""),"Ohio")</f>
        <v>Ohio</v>
      </c>
      <c r="F333" s="14" t="str">
        <f>IFERROR(__xludf.DUMMYFUNCTION("""COMPUTED_VALUE"""),"East")</f>
        <v>East</v>
      </c>
      <c r="G333" s="14">
        <f>IFERROR(__xludf.DUMMYFUNCTION("""COMPUTED_VALUE"""),26.136)</f>
        <v>26.136</v>
      </c>
      <c r="H333" s="14">
        <f>IFERROR(__xludf.DUMMYFUNCTION("""COMPUTED_VALUE"""),3.0)</f>
        <v>3</v>
      </c>
      <c r="I333" s="14">
        <f>IFERROR(__xludf.DUMMYFUNCTION("""COMPUTED_VALUE"""),1.9602)</f>
        <v>1.9602</v>
      </c>
      <c r="J333" s="3"/>
      <c r="K333" s="21"/>
      <c r="L333" s="21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>
      <c r="A334" s="12"/>
      <c r="B334" s="14" t="str">
        <f>IFERROR(__xludf.DUMMYFUNCTION("""COMPUTED_VALUE"""),"US-2014-109456")</f>
        <v>US-2014-109456</v>
      </c>
      <c r="C334" s="23">
        <f>IFERROR(__xludf.DUMMYFUNCTION("""COMPUTED_VALUE"""),41928.0)</f>
        <v>41928</v>
      </c>
      <c r="D334" s="14" t="str">
        <f>IFERROR(__xludf.DUMMYFUNCTION("""COMPUTED_VALUE"""),"Consumer")</f>
        <v>Consumer</v>
      </c>
      <c r="E334" s="14" t="str">
        <f>IFERROR(__xludf.DUMMYFUNCTION("""COMPUTED_VALUE"""),"California")</f>
        <v>California</v>
      </c>
      <c r="F334" s="14" t="str">
        <f>IFERROR(__xludf.DUMMYFUNCTION("""COMPUTED_VALUE"""),"West")</f>
        <v>West</v>
      </c>
      <c r="G334" s="14">
        <f>IFERROR(__xludf.DUMMYFUNCTION("""COMPUTED_VALUE"""),14.352)</f>
        <v>14.352</v>
      </c>
      <c r="H334" s="14">
        <f>IFERROR(__xludf.DUMMYFUNCTION("""COMPUTED_VALUE"""),3.0)</f>
        <v>3</v>
      </c>
      <c r="I334" s="14">
        <f>IFERROR(__xludf.DUMMYFUNCTION("""COMPUTED_VALUE"""),5.0232)</f>
        <v>5.0232</v>
      </c>
      <c r="J334" s="3"/>
      <c r="K334" s="21"/>
      <c r="L334" s="21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>
      <c r="A335" s="12"/>
      <c r="B335" s="14" t="str">
        <f>IFERROR(__xludf.DUMMYFUNCTION("""COMPUTED_VALUE"""),"CA-2014-141726")</f>
        <v>CA-2014-141726</v>
      </c>
      <c r="C335" s="22">
        <f>IFERROR(__xludf.DUMMYFUNCTION("""COMPUTED_VALUE"""),41840.0)</f>
        <v>41840</v>
      </c>
      <c r="D335" s="14" t="str">
        <f>IFERROR(__xludf.DUMMYFUNCTION("""COMPUTED_VALUE"""),"Consumer")</f>
        <v>Consumer</v>
      </c>
      <c r="E335" s="14" t="str">
        <f>IFERROR(__xludf.DUMMYFUNCTION("""COMPUTED_VALUE"""),"California")</f>
        <v>California</v>
      </c>
      <c r="F335" s="14" t="str">
        <f>IFERROR(__xludf.DUMMYFUNCTION("""COMPUTED_VALUE"""),"West")</f>
        <v>West</v>
      </c>
      <c r="G335" s="14">
        <f>IFERROR(__xludf.DUMMYFUNCTION("""COMPUTED_VALUE"""),104.85)</f>
        <v>104.85</v>
      </c>
      <c r="H335" s="14">
        <f>IFERROR(__xludf.DUMMYFUNCTION("""COMPUTED_VALUE"""),1.0)</f>
        <v>1</v>
      </c>
      <c r="I335" s="14">
        <f>IFERROR(__xludf.DUMMYFUNCTION("""COMPUTED_VALUE"""),50.328)</f>
        <v>50.328</v>
      </c>
      <c r="J335" s="3"/>
      <c r="K335" s="21"/>
      <c r="L335" s="21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>
      <c r="A336" s="12"/>
      <c r="B336" s="14" t="str">
        <f>IFERROR(__xludf.DUMMYFUNCTION("""COMPUTED_VALUE"""),"CA-2014-152422")</f>
        <v>CA-2014-152422</v>
      </c>
      <c r="C336" s="22">
        <f>IFERROR(__xludf.DUMMYFUNCTION("""COMPUTED_VALUE"""),41917.0)</f>
        <v>41917</v>
      </c>
      <c r="D336" s="14" t="str">
        <f>IFERROR(__xludf.DUMMYFUNCTION("""COMPUTED_VALUE"""),"Consumer")</f>
        <v>Consumer</v>
      </c>
      <c r="E336" s="14" t="str">
        <f>IFERROR(__xludf.DUMMYFUNCTION("""COMPUTED_VALUE"""),"Ohio")</f>
        <v>Ohio</v>
      </c>
      <c r="F336" s="14" t="str">
        <f>IFERROR(__xludf.DUMMYFUNCTION("""COMPUTED_VALUE"""),"East")</f>
        <v>East</v>
      </c>
      <c r="G336" s="14">
        <f>IFERROR(__xludf.DUMMYFUNCTION("""COMPUTED_VALUE"""),91.92)</f>
        <v>91.92</v>
      </c>
      <c r="H336" s="14">
        <f>IFERROR(__xludf.DUMMYFUNCTION("""COMPUTED_VALUE"""),5.0)</f>
        <v>5</v>
      </c>
      <c r="I336" s="14">
        <f>IFERROR(__xludf.DUMMYFUNCTION("""COMPUTED_VALUE"""),11.49)</f>
        <v>11.49</v>
      </c>
      <c r="J336" s="3"/>
      <c r="K336" s="21"/>
      <c r="L336" s="21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>
      <c r="A337" s="12"/>
      <c r="B337" s="14" t="str">
        <f>IFERROR(__xludf.DUMMYFUNCTION("""COMPUTED_VALUE"""),"CA-2014-130869")</f>
        <v>CA-2014-130869</v>
      </c>
      <c r="C337" s="23">
        <f>IFERROR(__xludf.DUMMYFUNCTION("""COMPUTED_VALUE"""),41960.0)</f>
        <v>41960</v>
      </c>
      <c r="D337" s="14" t="str">
        <f>IFERROR(__xludf.DUMMYFUNCTION("""COMPUTED_VALUE"""),"Consumer")</f>
        <v>Consumer</v>
      </c>
      <c r="E337" s="14" t="str">
        <f>IFERROR(__xludf.DUMMYFUNCTION("""COMPUTED_VALUE"""),"Texas")</f>
        <v>Texas</v>
      </c>
      <c r="F337" s="14" t="str">
        <f>IFERROR(__xludf.DUMMYFUNCTION("""COMPUTED_VALUE"""),"Central")</f>
        <v>Central</v>
      </c>
      <c r="G337" s="14">
        <f>IFERROR(__xludf.DUMMYFUNCTION("""COMPUTED_VALUE"""),7.08)</f>
        <v>7.08</v>
      </c>
      <c r="H337" s="14">
        <f>IFERROR(__xludf.DUMMYFUNCTION("""COMPUTED_VALUE"""),3.0)</f>
        <v>3</v>
      </c>
      <c r="I337" s="14">
        <f>IFERROR(__xludf.DUMMYFUNCTION("""COMPUTED_VALUE"""),2.478)</f>
        <v>2.478</v>
      </c>
      <c r="J337" s="3"/>
      <c r="K337" s="21"/>
      <c r="L337" s="21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</row>
    <row r="338">
      <c r="A338" s="12"/>
      <c r="B338" s="14" t="str">
        <f>IFERROR(__xludf.DUMMYFUNCTION("""COMPUTED_VALUE"""),"CA-2014-138072")</f>
        <v>CA-2014-138072</v>
      </c>
      <c r="C338" s="23">
        <f>IFERROR(__xludf.DUMMYFUNCTION("""COMPUTED_VALUE"""),42003.0)</f>
        <v>42003</v>
      </c>
      <c r="D338" s="14" t="str">
        <f>IFERROR(__xludf.DUMMYFUNCTION("""COMPUTED_VALUE"""),"Consumer")</f>
        <v>Consumer</v>
      </c>
      <c r="E338" s="14" t="str">
        <f>IFERROR(__xludf.DUMMYFUNCTION("""COMPUTED_VALUE"""),"Pennsylvania")</f>
        <v>Pennsylvania</v>
      </c>
      <c r="F338" s="14" t="str">
        <f>IFERROR(__xludf.DUMMYFUNCTION("""COMPUTED_VALUE"""),"East")</f>
        <v>East</v>
      </c>
      <c r="G338" s="14">
        <f>IFERROR(__xludf.DUMMYFUNCTION("""COMPUTED_VALUE"""),27.968)</f>
        <v>27.968</v>
      </c>
      <c r="H338" s="14">
        <f>IFERROR(__xludf.DUMMYFUNCTION("""COMPUTED_VALUE"""),2.0)</f>
        <v>2</v>
      </c>
      <c r="I338" s="14">
        <f>IFERROR(__xludf.DUMMYFUNCTION("""COMPUTED_VALUE"""),6.992)</f>
        <v>6.992</v>
      </c>
      <c r="J338" s="3"/>
      <c r="K338" s="21"/>
      <c r="L338" s="21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</row>
    <row r="339">
      <c r="A339" s="12"/>
      <c r="B339" s="14" t="str">
        <f>IFERROR(__xludf.DUMMYFUNCTION("""COMPUTED_VALUE"""),"US-2014-165589")</f>
        <v>US-2014-165589</v>
      </c>
      <c r="C339" s="22">
        <f>IFERROR(__xludf.DUMMYFUNCTION("""COMPUTED_VALUE"""),41688.0)</f>
        <v>41688</v>
      </c>
      <c r="D339" s="14" t="str">
        <f>IFERROR(__xludf.DUMMYFUNCTION("""COMPUTED_VALUE"""),"Consumer")</f>
        <v>Consumer</v>
      </c>
      <c r="E339" s="14" t="str">
        <f>IFERROR(__xludf.DUMMYFUNCTION("""COMPUTED_VALUE"""),"Texas")</f>
        <v>Texas</v>
      </c>
      <c r="F339" s="14" t="str">
        <f>IFERROR(__xludf.DUMMYFUNCTION("""COMPUTED_VALUE"""),"Central")</f>
        <v>Central</v>
      </c>
      <c r="G339" s="14">
        <f>IFERROR(__xludf.DUMMYFUNCTION("""COMPUTED_VALUE"""),25.16)</f>
        <v>25.16</v>
      </c>
      <c r="H339" s="14">
        <f>IFERROR(__xludf.DUMMYFUNCTION("""COMPUTED_VALUE"""),5.0)</f>
        <v>5</v>
      </c>
      <c r="I339" s="14">
        <f>IFERROR(__xludf.DUMMYFUNCTION("""COMPUTED_VALUE"""),-11.322)</f>
        <v>-11.322</v>
      </c>
      <c r="J339" s="3"/>
      <c r="K339" s="21"/>
      <c r="L339" s="21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</row>
    <row r="340">
      <c r="A340" s="12"/>
      <c r="B340" s="14" t="str">
        <f>IFERROR(__xludf.DUMMYFUNCTION("""COMPUTED_VALUE"""),"CA-2014-120852")</f>
        <v>CA-2014-120852</v>
      </c>
      <c r="C340" s="23">
        <f>IFERROR(__xludf.DUMMYFUNCTION("""COMPUTED_VALUE"""),41993.0)</f>
        <v>41993</v>
      </c>
      <c r="D340" s="14" t="str">
        <f>IFERROR(__xludf.DUMMYFUNCTION("""COMPUTED_VALUE"""),"Consumer")</f>
        <v>Consumer</v>
      </c>
      <c r="E340" s="14" t="str">
        <f>IFERROR(__xludf.DUMMYFUNCTION("""COMPUTED_VALUE"""),"Texas")</f>
        <v>Texas</v>
      </c>
      <c r="F340" s="14" t="str">
        <f>IFERROR(__xludf.DUMMYFUNCTION("""COMPUTED_VALUE"""),"Central")</f>
        <v>Central</v>
      </c>
      <c r="G340" s="14">
        <f>IFERROR(__xludf.DUMMYFUNCTION("""COMPUTED_VALUE"""),19.432)</f>
        <v>19.432</v>
      </c>
      <c r="H340" s="14">
        <f>IFERROR(__xludf.DUMMYFUNCTION("""COMPUTED_VALUE"""),2.0)</f>
        <v>2</v>
      </c>
      <c r="I340" s="14">
        <f>IFERROR(__xludf.DUMMYFUNCTION("""COMPUTED_VALUE"""),-49.5516)</f>
        <v>-49.5516</v>
      </c>
      <c r="J340" s="3"/>
      <c r="K340" s="21"/>
      <c r="L340" s="21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</row>
    <row r="341">
      <c r="A341" s="12"/>
      <c r="B341" s="14" t="str">
        <f>IFERROR(__xludf.DUMMYFUNCTION("""COMPUTED_VALUE"""),"CA-2014-131247")</f>
        <v>CA-2014-131247</v>
      </c>
      <c r="C341" s="22">
        <f>IFERROR(__xludf.DUMMYFUNCTION("""COMPUTED_VALUE"""),41728.0)</f>
        <v>41728</v>
      </c>
      <c r="D341" s="14" t="str">
        <f>IFERROR(__xludf.DUMMYFUNCTION("""COMPUTED_VALUE"""),"Consumer")</f>
        <v>Consumer</v>
      </c>
      <c r="E341" s="14" t="str">
        <f>IFERROR(__xludf.DUMMYFUNCTION("""COMPUTED_VALUE"""),"California")</f>
        <v>California</v>
      </c>
      <c r="F341" s="14" t="str">
        <f>IFERROR(__xludf.DUMMYFUNCTION("""COMPUTED_VALUE"""),"West")</f>
        <v>West</v>
      </c>
      <c r="G341" s="14">
        <f>IFERROR(__xludf.DUMMYFUNCTION("""COMPUTED_VALUE"""),205.666)</f>
        <v>205.666</v>
      </c>
      <c r="H341" s="14">
        <f>IFERROR(__xludf.DUMMYFUNCTION("""COMPUTED_VALUE"""),2.0)</f>
        <v>2</v>
      </c>
      <c r="I341" s="14">
        <f>IFERROR(__xludf.DUMMYFUNCTION("""COMPUTED_VALUE"""),-12.098)</f>
        <v>-12.098</v>
      </c>
      <c r="J341" s="3"/>
      <c r="K341" s="21"/>
      <c r="L341" s="21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</row>
    <row r="342">
      <c r="A342" s="12"/>
      <c r="B342" s="14" t="str">
        <f>IFERROR(__xludf.DUMMYFUNCTION("""COMPUTED_VALUE"""),"CA-2014-133543")</f>
        <v>CA-2014-133543</v>
      </c>
      <c r="C342" s="23">
        <f>IFERROR(__xludf.DUMMYFUNCTION("""COMPUTED_VALUE"""),41995.0)</f>
        <v>41995</v>
      </c>
      <c r="D342" s="14" t="str">
        <f>IFERROR(__xludf.DUMMYFUNCTION("""COMPUTED_VALUE"""),"Consumer")</f>
        <v>Consumer</v>
      </c>
      <c r="E342" s="14" t="str">
        <f>IFERROR(__xludf.DUMMYFUNCTION("""COMPUTED_VALUE"""),"California")</f>
        <v>California</v>
      </c>
      <c r="F342" s="14" t="str">
        <f>IFERROR(__xludf.DUMMYFUNCTION("""COMPUTED_VALUE"""),"West")</f>
        <v>West</v>
      </c>
      <c r="G342" s="14">
        <f>IFERROR(__xludf.DUMMYFUNCTION("""COMPUTED_VALUE"""),11.76)</f>
        <v>11.76</v>
      </c>
      <c r="H342" s="14">
        <f>IFERROR(__xludf.DUMMYFUNCTION("""COMPUTED_VALUE"""),4.0)</f>
        <v>4</v>
      </c>
      <c r="I342" s="14">
        <f>IFERROR(__xludf.DUMMYFUNCTION("""COMPUTED_VALUE"""),3.1752)</f>
        <v>3.1752</v>
      </c>
      <c r="J342" s="3"/>
      <c r="K342" s="21"/>
      <c r="L342" s="21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</row>
    <row r="343">
      <c r="A343" s="12"/>
      <c r="B343" s="14" t="str">
        <f>IFERROR(__xludf.DUMMYFUNCTION("""COMPUTED_VALUE"""),"CA-2014-101266")</f>
        <v>CA-2014-101266</v>
      </c>
      <c r="C343" s="22">
        <f>IFERROR(__xludf.DUMMYFUNCTION("""COMPUTED_VALUE"""),41878.0)</f>
        <v>41878</v>
      </c>
      <c r="D343" s="14" t="str">
        <f>IFERROR(__xludf.DUMMYFUNCTION("""COMPUTED_VALUE"""),"Consumer")</f>
        <v>Consumer</v>
      </c>
      <c r="E343" s="14" t="str">
        <f>IFERROR(__xludf.DUMMYFUNCTION("""COMPUTED_VALUE"""),"Virginia")</f>
        <v>Virginia</v>
      </c>
      <c r="F343" s="14" t="str">
        <f>IFERROR(__xludf.DUMMYFUNCTION("""COMPUTED_VALUE"""),"South")</f>
        <v>South</v>
      </c>
      <c r="G343" s="14">
        <f>IFERROR(__xludf.DUMMYFUNCTION("""COMPUTED_VALUE"""),13.36)</f>
        <v>13.36</v>
      </c>
      <c r="H343" s="14">
        <f>IFERROR(__xludf.DUMMYFUNCTION("""COMPUTED_VALUE"""),2.0)</f>
        <v>2</v>
      </c>
      <c r="I343" s="14">
        <f>IFERROR(__xludf.DUMMYFUNCTION("""COMPUTED_VALUE"""),6.4128)</f>
        <v>6.4128</v>
      </c>
      <c r="J343" s="3"/>
      <c r="K343" s="21"/>
      <c r="L343" s="21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</row>
    <row r="344">
      <c r="A344" s="12"/>
      <c r="B344" s="14" t="str">
        <f>IFERROR(__xludf.DUMMYFUNCTION("""COMPUTED_VALUE"""),"CA-2014-128538")</f>
        <v>CA-2014-128538</v>
      </c>
      <c r="C344" s="23">
        <f>IFERROR(__xludf.DUMMYFUNCTION("""COMPUTED_VALUE"""),41923.0)</f>
        <v>41923</v>
      </c>
      <c r="D344" s="14" t="str">
        <f>IFERROR(__xludf.DUMMYFUNCTION("""COMPUTED_VALUE"""),"Consumer")</f>
        <v>Consumer</v>
      </c>
      <c r="E344" s="14" t="str">
        <f>IFERROR(__xludf.DUMMYFUNCTION("""COMPUTED_VALUE"""),"California")</f>
        <v>California</v>
      </c>
      <c r="F344" s="14" t="str">
        <f>IFERROR(__xludf.DUMMYFUNCTION("""COMPUTED_VALUE"""),"West")</f>
        <v>West</v>
      </c>
      <c r="G344" s="14">
        <f>IFERROR(__xludf.DUMMYFUNCTION("""COMPUTED_VALUE"""),7.64)</f>
        <v>7.64</v>
      </c>
      <c r="H344" s="14">
        <f>IFERROR(__xludf.DUMMYFUNCTION("""COMPUTED_VALUE"""),1.0)</f>
        <v>1</v>
      </c>
      <c r="I344" s="14">
        <f>IFERROR(__xludf.DUMMYFUNCTION("""COMPUTED_VALUE"""),3.7436)</f>
        <v>3.7436</v>
      </c>
      <c r="J344" s="3"/>
      <c r="K344" s="21"/>
      <c r="L344" s="21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</row>
    <row r="345">
      <c r="A345" s="12"/>
      <c r="B345" s="14" t="str">
        <f>IFERROR(__xludf.DUMMYFUNCTION("""COMPUTED_VALUE"""),"CA-2014-148782")</f>
        <v>CA-2014-148782</v>
      </c>
      <c r="C345" s="22">
        <f>IFERROR(__xludf.DUMMYFUNCTION("""COMPUTED_VALUE"""),41945.0)</f>
        <v>41945</v>
      </c>
      <c r="D345" s="14" t="str">
        <f>IFERROR(__xludf.DUMMYFUNCTION("""COMPUTED_VALUE"""),"Consumer")</f>
        <v>Consumer</v>
      </c>
      <c r="E345" s="14" t="str">
        <f>IFERROR(__xludf.DUMMYFUNCTION("""COMPUTED_VALUE"""),"Texas")</f>
        <v>Texas</v>
      </c>
      <c r="F345" s="14" t="str">
        <f>IFERROR(__xludf.DUMMYFUNCTION("""COMPUTED_VALUE"""),"Central")</f>
        <v>Central</v>
      </c>
      <c r="G345" s="14">
        <f>IFERROR(__xludf.DUMMYFUNCTION("""COMPUTED_VALUE"""),88.776)</f>
        <v>88.776</v>
      </c>
      <c r="H345" s="14">
        <f>IFERROR(__xludf.DUMMYFUNCTION("""COMPUTED_VALUE"""),3.0)</f>
        <v>3</v>
      </c>
      <c r="I345" s="14">
        <f>IFERROR(__xludf.DUMMYFUNCTION("""COMPUTED_VALUE"""),7.7679)</f>
        <v>7.7679</v>
      </c>
      <c r="J345" s="3"/>
      <c r="K345" s="21"/>
      <c r="L345" s="21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</row>
    <row r="346">
      <c r="A346" s="12"/>
      <c r="B346" s="14" t="str">
        <f>IFERROR(__xludf.DUMMYFUNCTION("""COMPUTED_VALUE"""),"CA-2014-101147")</f>
        <v>CA-2014-101147</v>
      </c>
      <c r="C346" s="22">
        <f>IFERROR(__xludf.DUMMYFUNCTION("""COMPUTED_VALUE"""),41975.0)</f>
        <v>41975</v>
      </c>
      <c r="D346" s="14" t="str">
        <f>IFERROR(__xludf.DUMMYFUNCTION("""COMPUTED_VALUE"""),"Consumer")</f>
        <v>Consumer</v>
      </c>
      <c r="E346" s="14" t="str">
        <f>IFERROR(__xludf.DUMMYFUNCTION("""COMPUTED_VALUE"""),"Illinois")</f>
        <v>Illinois</v>
      </c>
      <c r="F346" s="14" t="str">
        <f>IFERROR(__xludf.DUMMYFUNCTION("""COMPUTED_VALUE"""),"Central")</f>
        <v>Central</v>
      </c>
      <c r="G346" s="14">
        <f>IFERROR(__xludf.DUMMYFUNCTION("""COMPUTED_VALUE"""),2.394)</f>
        <v>2.394</v>
      </c>
      <c r="H346" s="14">
        <f>IFERROR(__xludf.DUMMYFUNCTION("""COMPUTED_VALUE"""),1.0)</f>
        <v>1</v>
      </c>
      <c r="I346" s="14">
        <f>IFERROR(__xludf.DUMMYFUNCTION("""COMPUTED_VALUE"""),-6.3441)</f>
        <v>-6.3441</v>
      </c>
      <c r="J346" s="3"/>
      <c r="K346" s="21"/>
      <c r="L346" s="21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</row>
    <row r="347">
      <c r="A347" s="12"/>
      <c r="B347" s="14" t="str">
        <f>IFERROR(__xludf.DUMMYFUNCTION("""COMPUTED_VALUE"""),"CA-2014-146731")</f>
        <v>CA-2014-146731</v>
      </c>
      <c r="C347" s="22">
        <f>IFERROR(__xludf.DUMMYFUNCTION("""COMPUTED_VALUE"""),41946.0)</f>
        <v>41946</v>
      </c>
      <c r="D347" s="14" t="str">
        <f>IFERROR(__xludf.DUMMYFUNCTION("""COMPUTED_VALUE"""),"Consumer")</f>
        <v>Consumer</v>
      </c>
      <c r="E347" s="14" t="str">
        <f>IFERROR(__xludf.DUMMYFUNCTION("""COMPUTED_VALUE"""),"Tennessee")</f>
        <v>Tennessee</v>
      </c>
      <c r="F347" s="14" t="str">
        <f>IFERROR(__xludf.DUMMYFUNCTION("""COMPUTED_VALUE"""),"South")</f>
        <v>South</v>
      </c>
      <c r="G347" s="14">
        <f>IFERROR(__xludf.DUMMYFUNCTION("""COMPUTED_VALUE"""),3.488)</f>
        <v>3.488</v>
      </c>
      <c r="H347" s="14">
        <f>IFERROR(__xludf.DUMMYFUNCTION("""COMPUTED_VALUE"""),2.0)</f>
        <v>2</v>
      </c>
      <c r="I347" s="14">
        <f>IFERROR(__xludf.DUMMYFUNCTION("""COMPUTED_VALUE"""),1.1772)</f>
        <v>1.1772</v>
      </c>
      <c r="J347" s="3"/>
      <c r="K347" s="21"/>
      <c r="L347" s="21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</row>
    <row r="348">
      <c r="A348" s="12"/>
      <c r="B348" s="14" t="str">
        <f>IFERROR(__xludf.DUMMYFUNCTION("""COMPUTED_VALUE"""),"US-2014-161305")</f>
        <v>US-2014-161305</v>
      </c>
      <c r="C348" s="22">
        <f>IFERROR(__xludf.DUMMYFUNCTION("""COMPUTED_VALUE"""),41796.0)</f>
        <v>41796</v>
      </c>
      <c r="D348" s="14" t="str">
        <f>IFERROR(__xludf.DUMMYFUNCTION("""COMPUTED_VALUE"""),"Consumer")</f>
        <v>Consumer</v>
      </c>
      <c r="E348" s="14" t="str">
        <f>IFERROR(__xludf.DUMMYFUNCTION("""COMPUTED_VALUE"""),"Illinois")</f>
        <v>Illinois</v>
      </c>
      <c r="F348" s="14" t="str">
        <f>IFERROR(__xludf.DUMMYFUNCTION("""COMPUTED_VALUE"""),"Central")</f>
        <v>Central</v>
      </c>
      <c r="G348" s="14">
        <f>IFERROR(__xludf.DUMMYFUNCTION("""COMPUTED_VALUE"""),24.588)</f>
        <v>24.588</v>
      </c>
      <c r="H348" s="14">
        <f>IFERROR(__xludf.DUMMYFUNCTION("""COMPUTED_VALUE"""),3.0)</f>
        <v>3</v>
      </c>
      <c r="I348" s="14">
        <f>IFERROR(__xludf.DUMMYFUNCTION("""COMPUTED_VALUE"""),-38.1114)</f>
        <v>-38.1114</v>
      </c>
      <c r="J348" s="3"/>
      <c r="K348" s="21"/>
      <c r="L348" s="21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</row>
    <row r="349">
      <c r="A349" s="12"/>
      <c r="B349" s="14" t="str">
        <f>IFERROR(__xludf.DUMMYFUNCTION("""COMPUTED_VALUE"""),"CA-2014-112837")</f>
        <v>CA-2014-112837</v>
      </c>
      <c r="C349" s="22">
        <f>IFERROR(__xludf.DUMMYFUNCTION("""COMPUTED_VALUE"""),41893.0)</f>
        <v>41893</v>
      </c>
      <c r="D349" s="14" t="str">
        <f>IFERROR(__xludf.DUMMYFUNCTION("""COMPUTED_VALUE"""),"Consumer")</f>
        <v>Consumer</v>
      </c>
      <c r="E349" s="14" t="str">
        <f>IFERROR(__xludf.DUMMYFUNCTION("""COMPUTED_VALUE"""),"California")</f>
        <v>California</v>
      </c>
      <c r="F349" s="14" t="str">
        <f>IFERROR(__xludf.DUMMYFUNCTION("""COMPUTED_VALUE"""),"West")</f>
        <v>West</v>
      </c>
      <c r="G349" s="14">
        <f>IFERROR(__xludf.DUMMYFUNCTION("""COMPUTED_VALUE"""),127.95)</f>
        <v>127.95</v>
      </c>
      <c r="H349" s="14">
        <f>IFERROR(__xludf.DUMMYFUNCTION("""COMPUTED_VALUE"""),3.0)</f>
        <v>3</v>
      </c>
      <c r="I349" s="14">
        <f>IFERROR(__xludf.DUMMYFUNCTION("""COMPUTED_VALUE"""),21.7515)</f>
        <v>21.7515</v>
      </c>
      <c r="J349" s="3"/>
      <c r="K349" s="21"/>
      <c r="L349" s="21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</row>
    <row r="350">
      <c r="A350" s="12"/>
      <c r="B350" s="14" t="str">
        <f>IFERROR(__xludf.DUMMYFUNCTION("""COMPUTED_VALUE"""),"CA-2014-104402")</f>
        <v>CA-2014-104402</v>
      </c>
      <c r="C350" s="22">
        <f>IFERROR(__xludf.DUMMYFUNCTION("""COMPUTED_VALUE"""),41807.0)</f>
        <v>41807</v>
      </c>
      <c r="D350" s="14" t="str">
        <f>IFERROR(__xludf.DUMMYFUNCTION("""COMPUTED_VALUE"""),"Consumer")</f>
        <v>Consumer</v>
      </c>
      <c r="E350" s="14" t="str">
        <f>IFERROR(__xludf.DUMMYFUNCTION("""COMPUTED_VALUE"""),"Delaware")</f>
        <v>Delaware</v>
      </c>
      <c r="F350" s="14" t="str">
        <f>IFERROR(__xludf.DUMMYFUNCTION("""COMPUTED_VALUE"""),"East")</f>
        <v>East</v>
      </c>
      <c r="G350" s="14">
        <f>IFERROR(__xludf.DUMMYFUNCTION("""COMPUTED_VALUE"""),65.97)</f>
        <v>65.97</v>
      </c>
      <c r="H350" s="14">
        <f>IFERROR(__xludf.DUMMYFUNCTION("""COMPUTED_VALUE"""),3.0)</f>
        <v>3</v>
      </c>
      <c r="I350" s="14">
        <f>IFERROR(__xludf.DUMMYFUNCTION("""COMPUTED_VALUE"""),31.0059)</f>
        <v>31.0059</v>
      </c>
      <c r="J350" s="3"/>
      <c r="K350" s="21"/>
      <c r="L350" s="21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</row>
    <row r="351">
      <c r="A351" s="12"/>
      <c r="B351" s="14" t="str">
        <f>IFERROR(__xludf.DUMMYFUNCTION("""COMPUTED_VALUE"""),"CA-2014-167927")</f>
        <v>CA-2014-167927</v>
      </c>
      <c r="C351" s="22">
        <f>IFERROR(__xludf.DUMMYFUNCTION("""COMPUTED_VALUE"""),41659.0)</f>
        <v>41659</v>
      </c>
      <c r="D351" s="14" t="str">
        <f>IFERROR(__xludf.DUMMYFUNCTION("""COMPUTED_VALUE"""),"Consumer")</f>
        <v>Consumer</v>
      </c>
      <c r="E351" s="14" t="str">
        <f>IFERROR(__xludf.DUMMYFUNCTION("""COMPUTED_VALUE"""),"Michigan")</f>
        <v>Michigan</v>
      </c>
      <c r="F351" s="14" t="str">
        <f>IFERROR(__xludf.DUMMYFUNCTION("""COMPUTED_VALUE"""),"Central")</f>
        <v>Central</v>
      </c>
      <c r="G351" s="14">
        <f>IFERROR(__xludf.DUMMYFUNCTION("""COMPUTED_VALUE"""),13.98)</f>
        <v>13.98</v>
      </c>
      <c r="H351" s="14">
        <f>IFERROR(__xludf.DUMMYFUNCTION("""COMPUTED_VALUE"""),1.0)</f>
        <v>1</v>
      </c>
      <c r="I351" s="14">
        <f>IFERROR(__xludf.DUMMYFUNCTION("""COMPUTED_VALUE"""),4.0542)</f>
        <v>4.0542</v>
      </c>
      <c r="J351" s="3"/>
      <c r="K351" s="21"/>
      <c r="L351" s="21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</row>
    <row r="352">
      <c r="A352" s="12"/>
      <c r="B352" s="14" t="str">
        <f>IFERROR(__xludf.DUMMYFUNCTION("""COMPUTED_VALUE"""),"CA-2014-133305")</f>
        <v>CA-2014-133305</v>
      </c>
      <c r="C352" s="22">
        <f>IFERROR(__xludf.DUMMYFUNCTION("""COMPUTED_VALUE"""),41831.0)</f>
        <v>41831</v>
      </c>
      <c r="D352" s="14" t="str">
        <f>IFERROR(__xludf.DUMMYFUNCTION("""COMPUTED_VALUE"""),"Consumer")</f>
        <v>Consumer</v>
      </c>
      <c r="E352" s="14" t="str">
        <f>IFERROR(__xludf.DUMMYFUNCTION("""COMPUTED_VALUE"""),"New York")</f>
        <v>New York</v>
      </c>
      <c r="F352" s="14" t="str">
        <f>IFERROR(__xludf.DUMMYFUNCTION("""COMPUTED_VALUE"""),"East")</f>
        <v>East</v>
      </c>
      <c r="G352" s="14">
        <f>IFERROR(__xludf.DUMMYFUNCTION("""COMPUTED_VALUE"""),49.12)</f>
        <v>49.12</v>
      </c>
      <c r="H352" s="14">
        <f>IFERROR(__xludf.DUMMYFUNCTION("""COMPUTED_VALUE"""),4.0)</f>
        <v>4</v>
      </c>
      <c r="I352" s="14">
        <f>IFERROR(__xludf.DUMMYFUNCTION("""COMPUTED_VALUE"""),23.0864)</f>
        <v>23.0864</v>
      </c>
      <c r="J352" s="3"/>
      <c r="K352" s="21"/>
      <c r="L352" s="21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</row>
    <row r="353">
      <c r="A353" s="12"/>
      <c r="B353" s="14" t="str">
        <f>IFERROR(__xludf.DUMMYFUNCTION("""COMPUTED_VALUE"""),"CA-2014-110611")</f>
        <v>CA-2014-110611</v>
      </c>
      <c r="C353" s="22">
        <f>IFERROR(__xludf.DUMMYFUNCTION("""COMPUTED_VALUE"""),41918.0)</f>
        <v>41918</v>
      </c>
      <c r="D353" s="14" t="str">
        <f>IFERROR(__xludf.DUMMYFUNCTION("""COMPUTED_VALUE"""),"Consumer")</f>
        <v>Consumer</v>
      </c>
      <c r="E353" s="14" t="str">
        <f>IFERROR(__xludf.DUMMYFUNCTION("""COMPUTED_VALUE"""),"Pennsylvania")</f>
        <v>Pennsylvania</v>
      </c>
      <c r="F353" s="14" t="str">
        <f>IFERROR(__xludf.DUMMYFUNCTION("""COMPUTED_VALUE"""),"East")</f>
        <v>East</v>
      </c>
      <c r="G353" s="14">
        <f>IFERROR(__xludf.DUMMYFUNCTION("""COMPUTED_VALUE"""),83.92)</f>
        <v>83.92</v>
      </c>
      <c r="H353" s="14">
        <f>IFERROR(__xludf.DUMMYFUNCTION("""COMPUTED_VALUE"""),5.0)</f>
        <v>5</v>
      </c>
      <c r="I353" s="14">
        <f>IFERROR(__xludf.DUMMYFUNCTION("""COMPUTED_VALUE"""),-13.637)</f>
        <v>-13.637</v>
      </c>
      <c r="J353" s="3"/>
      <c r="K353" s="21"/>
      <c r="L353" s="21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</row>
    <row r="354">
      <c r="A354" s="12"/>
      <c r="B354" s="14" t="str">
        <f>IFERROR(__xludf.DUMMYFUNCTION("""COMPUTED_VALUE"""),"US-2014-107993")</f>
        <v>US-2014-107993</v>
      </c>
      <c r="C354" s="23">
        <f>IFERROR(__xludf.DUMMYFUNCTION("""COMPUTED_VALUE"""),41968.0)</f>
        <v>41968</v>
      </c>
      <c r="D354" s="14" t="str">
        <f>IFERROR(__xludf.DUMMYFUNCTION("""COMPUTED_VALUE"""),"Consumer")</f>
        <v>Consumer</v>
      </c>
      <c r="E354" s="14" t="str">
        <f>IFERROR(__xludf.DUMMYFUNCTION("""COMPUTED_VALUE"""),"Oregon")</f>
        <v>Oregon</v>
      </c>
      <c r="F354" s="14" t="str">
        <f>IFERROR(__xludf.DUMMYFUNCTION("""COMPUTED_VALUE"""),"West")</f>
        <v>West</v>
      </c>
      <c r="G354" s="14">
        <f>IFERROR(__xludf.DUMMYFUNCTION("""COMPUTED_VALUE"""),51.016)</f>
        <v>51.016</v>
      </c>
      <c r="H354" s="14">
        <f>IFERROR(__xludf.DUMMYFUNCTION("""COMPUTED_VALUE"""),7.0)</f>
        <v>7</v>
      </c>
      <c r="I354" s="14">
        <f>IFERROR(__xludf.DUMMYFUNCTION("""COMPUTED_VALUE"""),8.2901)</f>
        <v>8.2901</v>
      </c>
      <c r="J354" s="3"/>
      <c r="K354" s="21"/>
      <c r="L354" s="21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</row>
    <row r="355">
      <c r="A355" s="12"/>
      <c r="B355" s="14" t="str">
        <f>IFERROR(__xludf.DUMMYFUNCTION("""COMPUTED_VALUE"""),"CA-2014-134103")</f>
        <v>CA-2014-134103</v>
      </c>
      <c r="C355" s="22">
        <f>IFERROR(__xludf.DUMMYFUNCTION("""COMPUTED_VALUE"""),41669.0)</f>
        <v>41669</v>
      </c>
      <c r="D355" s="14" t="str">
        <f>IFERROR(__xludf.DUMMYFUNCTION("""COMPUTED_VALUE"""),"Consumer")</f>
        <v>Consumer</v>
      </c>
      <c r="E355" s="14" t="str">
        <f>IFERROR(__xludf.DUMMYFUNCTION("""COMPUTED_VALUE"""),"Michigan")</f>
        <v>Michigan</v>
      </c>
      <c r="F355" s="14" t="str">
        <f>IFERROR(__xludf.DUMMYFUNCTION("""COMPUTED_VALUE"""),"Central")</f>
        <v>Central</v>
      </c>
      <c r="G355" s="14">
        <f>IFERROR(__xludf.DUMMYFUNCTION("""COMPUTED_VALUE"""),10.56)</f>
        <v>10.56</v>
      </c>
      <c r="H355" s="14">
        <f>IFERROR(__xludf.DUMMYFUNCTION("""COMPUTED_VALUE"""),2.0)</f>
        <v>2</v>
      </c>
      <c r="I355" s="14">
        <f>IFERROR(__xludf.DUMMYFUNCTION("""COMPUTED_VALUE"""),4.752)</f>
        <v>4.752</v>
      </c>
      <c r="J355" s="3"/>
      <c r="K355" s="21"/>
      <c r="L355" s="21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</row>
    <row r="356">
      <c r="A356" s="12"/>
      <c r="B356" s="14" t="str">
        <f>IFERROR(__xludf.DUMMYFUNCTION("""COMPUTED_VALUE"""),"CA-2014-165764")</f>
        <v>CA-2014-165764</v>
      </c>
      <c r="C356" s="22">
        <f>IFERROR(__xludf.DUMMYFUNCTION("""COMPUTED_VALUE"""),41946.0)</f>
        <v>41946</v>
      </c>
      <c r="D356" s="14" t="str">
        <f>IFERROR(__xludf.DUMMYFUNCTION("""COMPUTED_VALUE"""),"Consumer")</f>
        <v>Consumer</v>
      </c>
      <c r="E356" s="14" t="str">
        <f>IFERROR(__xludf.DUMMYFUNCTION("""COMPUTED_VALUE"""),"North Carolina")</f>
        <v>North Carolina</v>
      </c>
      <c r="F356" s="14" t="str">
        <f>IFERROR(__xludf.DUMMYFUNCTION("""COMPUTED_VALUE"""),"South")</f>
        <v>South</v>
      </c>
      <c r="G356" s="14">
        <f>IFERROR(__xludf.DUMMYFUNCTION("""COMPUTED_VALUE"""),25.984)</f>
        <v>25.984</v>
      </c>
      <c r="H356" s="14">
        <f>IFERROR(__xludf.DUMMYFUNCTION("""COMPUTED_VALUE"""),2.0)</f>
        <v>2</v>
      </c>
      <c r="I356" s="14">
        <f>IFERROR(__xludf.DUMMYFUNCTION("""COMPUTED_VALUE"""),-1.624)</f>
        <v>-1.624</v>
      </c>
      <c r="J356" s="3"/>
      <c r="K356" s="21"/>
      <c r="L356" s="21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</row>
    <row r="357">
      <c r="A357" s="12"/>
      <c r="B357" s="14" t="str">
        <f>IFERROR(__xludf.DUMMYFUNCTION("""COMPUTED_VALUE"""),"CA-2014-166891")</f>
        <v>CA-2014-166891</v>
      </c>
      <c r="C357" s="22">
        <f>IFERROR(__xludf.DUMMYFUNCTION("""COMPUTED_VALUE"""),41916.0)</f>
        <v>41916</v>
      </c>
      <c r="D357" s="14" t="str">
        <f>IFERROR(__xludf.DUMMYFUNCTION("""COMPUTED_VALUE"""),"Consumer")</f>
        <v>Consumer</v>
      </c>
      <c r="E357" s="14" t="str">
        <f>IFERROR(__xludf.DUMMYFUNCTION("""COMPUTED_VALUE"""),"New York")</f>
        <v>New York</v>
      </c>
      <c r="F357" s="14" t="str">
        <f>IFERROR(__xludf.DUMMYFUNCTION("""COMPUTED_VALUE"""),"East")</f>
        <v>East</v>
      </c>
      <c r="G357" s="14">
        <f>IFERROR(__xludf.DUMMYFUNCTION("""COMPUTED_VALUE"""),589.41)</f>
        <v>589.41</v>
      </c>
      <c r="H357" s="14">
        <f>IFERROR(__xludf.DUMMYFUNCTION("""COMPUTED_VALUE"""),5.0)</f>
        <v>5</v>
      </c>
      <c r="I357" s="14">
        <f>IFERROR(__xludf.DUMMYFUNCTION("""COMPUTED_VALUE"""),-6.549)</f>
        <v>-6.549</v>
      </c>
      <c r="J357" s="3"/>
      <c r="K357" s="21"/>
      <c r="L357" s="21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</row>
    <row r="358">
      <c r="A358" s="12"/>
      <c r="B358" s="14" t="str">
        <f>IFERROR(__xludf.DUMMYFUNCTION("""COMPUTED_VALUE"""),"CA-2014-129147")</f>
        <v>CA-2014-129147</v>
      </c>
      <c r="C358" s="22">
        <f>IFERROR(__xludf.DUMMYFUNCTION("""COMPUTED_VALUE"""),41945.0)</f>
        <v>41945</v>
      </c>
      <c r="D358" s="14" t="str">
        <f>IFERROR(__xludf.DUMMYFUNCTION("""COMPUTED_VALUE"""),"Consumer")</f>
        <v>Consumer</v>
      </c>
      <c r="E358" s="14" t="str">
        <f>IFERROR(__xludf.DUMMYFUNCTION("""COMPUTED_VALUE"""),"Ohio")</f>
        <v>Ohio</v>
      </c>
      <c r="F358" s="14" t="str">
        <f>IFERROR(__xludf.DUMMYFUNCTION("""COMPUTED_VALUE"""),"East")</f>
        <v>East</v>
      </c>
      <c r="G358" s="14">
        <f>IFERROR(__xludf.DUMMYFUNCTION("""COMPUTED_VALUE"""),539.964)</f>
        <v>539.964</v>
      </c>
      <c r="H358" s="14">
        <f>IFERROR(__xludf.DUMMYFUNCTION("""COMPUTED_VALUE"""),6.0)</f>
        <v>6</v>
      </c>
      <c r="I358" s="14">
        <f>IFERROR(__xludf.DUMMYFUNCTION("""COMPUTED_VALUE"""),-107.9928)</f>
        <v>-107.9928</v>
      </c>
      <c r="J358" s="3"/>
      <c r="K358" s="21"/>
      <c r="L358" s="21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</row>
    <row r="359">
      <c r="A359" s="12"/>
      <c r="B359" s="14" t="str">
        <f>IFERROR(__xludf.DUMMYFUNCTION("""COMPUTED_VALUE"""),"CA-2014-128209")</f>
        <v>CA-2014-128209</v>
      </c>
      <c r="C359" s="23">
        <f>IFERROR(__xludf.DUMMYFUNCTION("""COMPUTED_VALUE"""),41960.0)</f>
        <v>41960</v>
      </c>
      <c r="D359" s="14" t="str">
        <f>IFERROR(__xludf.DUMMYFUNCTION("""COMPUTED_VALUE"""),"Consumer")</f>
        <v>Consumer</v>
      </c>
      <c r="E359" s="14" t="str">
        <f>IFERROR(__xludf.DUMMYFUNCTION("""COMPUTED_VALUE"""),"New York")</f>
        <v>New York</v>
      </c>
      <c r="F359" s="14" t="str">
        <f>IFERROR(__xludf.DUMMYFUNCTION("""COMPUTED_VALUE"""),"East")</f>
        <v>East</v>
      </c>
      <c r="G359" s="14">
        <f>IFERROR(__xludf.DUMMYFUNCTION("""COMPUTED_VALUE"""),2152.776)</f>
        <v>2152.776</v>
      </c>
      <c r="H359" s="14">
        <f>IFERROR(__xludf.DUMMYFUNCTION("""COMPUTED_VALUE"""),3.0)</f>
        <v>3</v>
      </c>
      <c r="I359" s="14">
        <f>IFERROR(__xludf.DUMMYFUNCTION("""COMPUTED_VALUE"""),726.5619)</f>
        <v>726.5619</v>
      </c>
      <c r="J359" s="3"/>
      <c r="K359" s="21"/>
      <c r="L359" s="21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</row>
    <row r="360">
      <c r="A360" s="12"/>
      <c r="B360" s="14" t="str">
        <f>IFERROR(__xludf.DUMMYFUNCTION("""COMPUTED_VALUE"""),"CA-2014-166086")</f>
        <v>CA-2014-166086</v>
      </c>
      <c r="C360" s="22">
        <f>IFERROR(__xludf.DUMMYFUNCTION("""COMPUTED_VALUE"""),41766.0)</f>
        <v>41766</v>
      </c>
      <c r="D360" s="14" t="str">
        <f>IFERROR(__xludf.DUMMYFUNCTION("""COMPUTED_VALUE"""),"Consumer")</f>
        <v>Consumer</v>
      </c>
      <c r="E360" s="14" t="str">
        <f>IFERROR(__xludf.DUMMYFUNCTION("""COMPUTED_VALUE"""),"Massachusetts")</f>
        <v>Massachusetts</v>
      </c>
      <c r="F360" s="14" t="str">
        <f>IFERROR(__xludf.DUMMYFUNCTION("""COMPUTED_VALUE"""),"East")</f>
        <v>East</v>
      </c>
      <c r="G360" s="14">
        <f>IFERROR(__xludf.DUMMYFUNCTION("""COMPUTED_VALUE"""),16.14)</f>
        <v>16.14</v>
      </c>
      <c r="H360" s="14">
        <f>IFERROR(__xludf.DUMMYFUNCTION("""COMPUTED_VALUE"""),3.0)</f>
        <v>3</v>
      </c>
      <c r="I360" s="14">
        <f>IFERROR(__xludf.DUMMYFUNCTION("""COMPUTED_VALUE"""),7.9086)</f>
        <v>7.9086</v>
      </c>
      <c r="J360" s="3"/>
      <c r="K360" s="21"/>
      <c r="L360" s="21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</row>
    <row r="361">
      <c r="A361" s="12"/>
      <c r="B361" s="14" t="str">
        <f>IFERROR(__xludf.DUMMYFUNCTION("""COMPUTED_VALUE"""),"CA-2014-100678")</f>
        <v>CA-2014-100678</v>
      </c>
      <c r="C361" s="22">
        <f>IFERROR(__xludf.DUMMYFUNCTION("""COMPUTED_VALUE"""),41747.0)</f>
        <v>41747</v>
      </c>
      <c r="D361" s="14" t="str">
        <f>IFERROR(__xludf.DUMMYFUNCTION("""COMPUTED_VALUE"""),"Consumer")</f>
        <v>Consumer</v>
      </c>
      <c r="E361" s="14" t="str">
        <f>IFERROR(__xludf.DUMMYFUNCTION("""COMPUTED_VALUE"""),"Texas")</f>
        <v>Texas</v>
      </c>
      <c r="F361" s="14" t="str">
        <f>IFERROR(__xludf.DUMMYFUNCTION("""COMPUTED_VALUE"""),"Central")</f>
        <v>Central</v>
      </c>
      <c r="G361" s="14">
        <f>IFERROR(__xludf.DUMMYFUNCTION("""COMPUTED_VALUE"""),2.688)</f>
        <v>2.688</v>
      </c>
      <c r="H361" s="14">
        <f>IFERROR(__xludf.DUMMYFUNCTION("""COMPUTED_VALUE"""),2.0)</f>
        <v>2</v>
      </c>
      <c r="I361" s="14">
        <f>IFERROR(__xludf.DUMMYFUNCTION("""COMPUTED_VALUE"""),1.008)</f>
        <v>1.008</v>
      </c>
      <c r="J361" s="3"/>
      <c r="K361" s="21"/>
      <c r="L361" s="21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</row>
    <row r="362">
      <c r="A362" s="12"/>
      <c r="B362" s="14" t="str">
        <f>IFERROR(__xludf.DUMMYFUNCTION("""COMPUTED_VALUE"""),"CA-2014-103660")</f>
        <v>CA-2014-103660</v>
      </c>
      <c r="C362" s="22">
        <f>IFERROR(__xludf.DUMMYFUNCTION("""COMPUTED_VALUE"""),41876.0)</f>
        <v>41876</v>
      </c>
      <c r="D362" s="14" t="str">
        <f>IFERROR(__xludf.DUMMYFUNCTION("""COMPUTED_VALUE"""),"Consumer")</f>
        <v>Consumer</v>
      </c>
      <c r="E362" s="14" t="str">
        <f>IFERROR(__xludf.DUMMYFUNCTION("""COMPUTED_VALUE"""),"Washington")</f>
        <v>Washington</v>
      </c>
      <c r="F362" s="14" t="str">
        <f>IFERROR(__xludf.DUMMYFUNCTION("""COMPUTED_VALUE"""),"West")</f>
        <v>West</v>
      </c>
      <c r="G362" s="14">
        <f>IFERROR(__xludf.DUMMYFUNCTION("""COMPUTED_VALUE"""),1007.944)</f>
        <v>1007.944</v>
      </c>
      <c r="H362" s="14">
        <f>IFERROR(__xludf.DUMMYFUNCTION("""COMPUTED_VALUE"""),7.0)</f>
        <v>7</v>
      </c>
      <c r="I362" s="14">
        <f>IFERROR(__xludf.DUMMYFUNCTION("""COMPUTED_VALUE"""),75.5958)</f>
        <v>75.5958</v>
      </c>
      <c r="J362" s="3"/>
      <c r="K362" s="21"/>
      <c r="L362" s="21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</row>
    <row r="363">
      <c r="A363" s="12"/>
      <c r="B363" s="14" t="str">
        <f>IFERROR(__xludf.DUMMYFUNCTION("""COMPUTED_VALUE"""),"CA-2014-164749")</f>
        <v>CA-2014-164749</v>
      </c>
      <c r="C363" s="22">
        <f>IFERROR(__xludf.DUMMYFUNCTION("""COMPUTED_VALUE"""),41721.0)</f>
        <v>41721</v>
      </c>
      <c r="D363" s="14" t="str">
        <f>IFERROR(__xludf.DUMMYFUNCTION("""COMPUTED_VALUE"""),"Consumer")</f>
        <v>Consumer</v>
      </c>
      <c r="E363" s="14" t="str">
        <f>IFERROR(__xludf.DUMMYFUNCTION("""COMPUTED_VALUE"""),"Florida")</f>
        <v>Florida</v>
      </c>
      <c r="F363" s="14" t="str">
        <f>IFERROR(__xludf.DUMMYFUNCTION("""COMPUTED_VALUE"""),"South")</f>
        <v>South</v>
      </c>
      <c r="G363" s="14">
        <f>IFERROR(__xludf.DUMMYFUNCTION("""COMPUTED_VALUE"""),9.912)</f>
        <v>9.912</v>
      </c>
      <c r="H363" s="14">
        <f>IFERROR(__xludf.DUMMYFUNCTION("""COMPUTED_VALUE"""),3.0)</f>
        <v>3</v>
      </c>
      <c r="I363" s="14">
        <f>IFERROR(__xludf.DUMMYFUNCTION("""COMPUTED_VALUE"""),3.2214)</f>
        <v>3.2214</v>
      </c>
      <c r="J363" s="3"/>
      <c r="K363" s="21"/>
      <c r="L363" s="21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</row>
    <row r="364">
      <c r="A364" s="12"/>
      <c r="B364" s="14" t="str">
        <f>IFERROR(__xludf.DUMMYFUNCTION("""COMPUTED_VALUE"""),"CA-2014-169257")</f>
        <v>CA-2014-169257</v>
      </c>
      <c r="C364" s="22">
        <f>IFERROR(__xludf.DUMMYFUNCTION("""COMPUTED_VALUE"""),41796.0)</f>
        <v>41796</v>
      </c>
      <c r="D364" s="14" t="str">
        <f>IFERROR(__xludf.DUMMYFUNCTION("""COMPUTED_VALUE"""),"Consumer")</f>
        <v>Consumer</v>
      </c>
      <c r="E364" s="14" t="str">
        <f>IFERROR(__xludf.DUMMYFUNCTION("""COMPUTED_VALUE"""),"Florida")</f>
        <v>Florida</v>
      </c>
      <c r="F364" s="14" t="str">
        <f>IFERROR(__xludf.DUMMYFUNCTION("""COMPUTED_VALUE"""),"South")</f>
        <v>South</v>
      </c>
      <c r="G364" s="14">
        <f>IFERROR(__xludf.DUMMYFUNCTION("""COMPUTED_VALUE"""),1.365)</f>
        <v>1.365</v>
      </c>
      <c r="H364" s="14">
        <f>IFERROR(__xludf.DUMMYFUNCTION("""COMPUTED_VALUE"""),1.0)</f>
        <v>1</v>
      </c>
      <c r="I364" s="14">
        <f>IFERROR(__xludf.DUMMYFUNCTION("""COMPUTED_VALUE"""),-0.91)</f>
        <v>-0.91</v>
      </c>
      <c r="J364" s="3"/>
      <c r="K364" s="21"/>
      <c r="L364" s="21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</row>
    <row r="365">
      <c r="A365" s="12"/>
      <c r="B365" s="14" t="str">
        <f>IFERROR(__xludf.DUMMYFUNCTION("""COMPUTED_VALUE"""),"CA-2014-145541")</f>
        <v>CA-2014-145541</v>
      </c>
      <c r="C365" s="23">
        <f>IFERROR(__xludf.DUMMYFUNCTION("""COMPUTED_VALUE"""),41987.0)</f>
        <v>41987</v>
      </c>
      <c r="D365" s="14" t="str">
        <f>IFERROR(__xludf.DUMMYFUNCTION("""COMPUTED_VALUE"""),"Consumer")</f>
        <v>Consumer</v>
      </c>
      <c r="E365" s="14" t="str">
        <f>IFERROR(__xludf.DUMMYFUNCTION("""COMPUTED_VALUE"""),"New York")</f>
        <v>New York</v>
      </c>
      <c r="F365" s="14" t="str">
        <f>IFERROR(__xludf.DUMMYFUNCTION("""COMPUTED_VALUE"""),"East")</f>
        <v>East</v>
      </c>
      <c r="G365" s="14">
        <f>IFERROR(__xludf.DUMMYFUNCTION("""COMPUTED_VALUE"""),6999.96)</f>
        <v>6999.96</v>
      </c>
      <c r="H365" s="14">
        <f>IFERROR(__xludf.DUMMYFUNCTION("""COMPUTED_VALUE"""),4.0)</f>
        <v>4</v>
      </c>
      <c r="I365" s="14">
        <f>IFERROR(__xludf.DUMMYFUNCTION("""COMPUTED_VALUE"""),2239.9872)</f>
        <v>2239.9872</v>
      </c>
      <c r="J365" s="3"/>
      <c r="K365" s="21"/>
      <c r="L365" s="21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</row>
    <row r="366">
      <c r="A366" s="12"/>
      <c r="B366" s="14" t="str">
        <f>IFERROR(__xludf.DUMMYFUNCTION("""COMPUTED_VALUE"""),"CA-2014-138513")</f>
        <v>CA-2014-138513</v>
      </c>
      <c r="C366" s="22">
        <f>IFERROR(__xludf.DUMMYFUNCTION("""COMPUTED_VALUE"""),41782.0)</f>
        <v>41782</v>
      </c>
      <c r="D366" s="14" t="str">
        <f>IFERROR(__xludf.DUMMYFUNCTION("""COMPUTED_VALUE"""),"Consumer")</f>
        <v>Consumer</v>
      </c>
      <c r="E366" s="14" t="str">
        <f>IFERROR(__xludf.DUMMYFUNCTION("""COMPUTED_VALUE"""),"Washington")</f>
        <v>Washington</v>
      </c>
      <c r="F366" s="14" t="str">
        <f>IFERROR(__xludf.DUMMYFUNCTION("""COMPUTED_VALUE"""),"West")</f>
        <v>West</v>
      </c>
      <c r="G366" s="14">
        <f>IFERROR(__xludf.DUMMYFUNCTION("""COMPUTED_VALUE"""),12.96)</f>
        <v>12.96</v>
      </c>
      <c r="H366" s="14">
        <f>IFERROR(__xludf.DUMMYFUNCTION("""COMPUTED_VALUE"""),2.0)</f>
        <v>2</v>
      </c>
      <c r="I366" s="14">
        <f>IFERROR(__xludf.DUMMYFUNCTION("""COMPUTED_VALUE"""),6.2208)</f>
        <v>6.2208</v>
      </c>
      <c r="J366" s="3"/>
      <c r="K366" s="21"/>
      <c r="L366" s="21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</row>
    <row r="367">
      <c r="A367" s="12"/>
      <c r="B367" s="14" t="str">
        <f>IFERROR(__xludf.DUMMYFUNCTION("""COMPUTED_VALUE"""),"CA-2014-144029")</f>
        <v>CA-2014-144029</v>
      </c>
      <c r="C367" s="22">
        <f>IFERROR(__xludf.DUMMYFUNCTION("""COMPUTED_VALUE"""),41785.0)</f>
        <v>41785</v>
      </c>
      <c r="D367" s="14" t="str">
        <f>IFERROR(__xludf.DUMMYFUNCTION("""COMPUTED_VALUE"""),"Consumer")</f>
        <v>Consumer</v>
      </c>
      <c r="E367" s="14" t="str">
        <f>IFERROR(__xludf.DUMMYFUNCTION("""COMPUTED_VALUE"""),"Illinois")</f>
        <v>Illinois</v>
      </c>
      <c r="F367" s="14" t="str">
        <f>IFERROR(__xludf.DUMMYFUNCTION("""COMPUTED_VALUE"""),"Central")</f>
        <v>Central</v>
      </c>
      <c r="G367" s="14">
        <f>IFERROR(__xludf.DUMMYFUNCTION("""COMPUTED_VALUE"""),102.624)</f>
        <v>102.624</v>
      </c>
      <c r="H367" s="14">
        <f>IFERROR(__xludf.DUMMYFUNCTION("""COMPUTED_VALUE"""),3.0)</f>
        <v>3</v>
      </c>
      <c r="I367" s="14">
        <f>IFERROR(__xludf.DUMMYFUNCTION("""COMPUTED_VALUE"""),7.6968)</f>
        <v>7.6968</v>
      </c>
      <c r="J367" s="3"/>
      <c r="K367" s="21"/>
      <c r="L367" s="21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</row>
    <row r="368">
      <c r="A368" s="12"/>
      <c r="B368" s="14" t="str">
        <f>IFERROR(__xludf.DUMMYFUNCTION("""COMPUTED_VALUE"""),"CA-2014-141005")</f>
        <v>CA-2014-141005</v>
      </c>
      <c r="C368" s="22">
        <f>IFERROR(__xludf.DUMMYFUNCTION("""COMPUTED_VALUE"""),41866.0)</f>
        <v>41866</v>
      </c>
      <c r="D368" s="14" t="str">
        <f>IFERROR(__xludf.DUMMYFUNCTION("""COMPUTED_VALUE"""),"Consumer")</f>
        <v>Consumer</v>
      </c>
      <c r="E368" s="14" t="str">
        <f>IFERROR(__xludf.DUMMYFUNCTION("""COMPUTED_VALUE"""),"Connecticut")</f>
        <v>Connecticut</v>
      </c>
      <c r="F368" s="14" t="str">
        <f>IFERROR(__xludf.DUMMYFUNCTION("""COMPUTED_VALUE"""),"East")</f>
        <v>East</v>
      </c>
      <c r="G368" s="14">
        <f>IFERROR(__xludf.DUMMYFUNCTION("""COMPUTED_VALUE"""),62.94)</f>
        <v>62.94</v>
      </c>
      <c r="H368" s="14">
        <f>IFERROR(__xludf.DUMMYFUNCTION("""COMPUTED_VALUE"""),3.0)</f>
        <v>3</v>
      </c>
      <c r="I368" s="14">
        <f>IFERROR(__xludf.DUMMYFUNCTION("""COMPUTED_VALUE"""),30.2112)</f>
        <v>30.2112</v>
      </c>
      <c r="J368" s="3"/>
      <c r="K368" s="21"/>
      <c r="L368" s="21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</row>
    <row r="369">
      <c r="A369" s="12"/>
      <c r="B369" s="14" t="str">
        <f>IFERROR(__xludf.DUMMYFUNCTION("""COMPUTED_VALUE"""),"CA-2014-152233")</f>
        <v>CA-2014-152233</v>
      </c>
      <c r="C369" s="22">
        <f>IFERROR(__xludf.DUMMYFUNCTION("""COMPUTED_VALUE"""),41917.0)</f>
        <v>41917</v>
      </c>
      <c r="D369" s="14" t="str">
        <f>IFERROR(__xludf.DUMMYFUNCTION("""COMPUTED_VALUE"""),"Consumer")</f>
        <v>Consumer</v>
      </c>
      <c r="E369" s="14" t="str">
        <f>IFERROR(__xludf.DUMMYFUNCTION("""COMPUTED_VALUE"""),"California")</f>
        <v>California</v>
      </c>
      <c r="F369" s="14" t="str">
        <f>IFERROR(__xludf.DUMMYFUNCTION("""COMPUTED_VALUE"""),"West")</f>
        <v>West</v>
      </c>
      <c r="G369" s="14">
        <f>IFERROR(__xludf.DUMMYFUNCTION("""COMPUTED_VALUE"""),99.98)</f>
        <v>99.98</v>
      </c>
      <c r="H369" s="14">
        <f>IFERROR(__xludf.DUMMYFUNCTION("""COMPUTED_VALUE"""),2.0)</f>
        <v>2</v>
      </c>
      <c r="I369" s="14">
        <f>IFERROR(__xludf.DUMMYFUNCTION("""COMPUTED_VALUE"""),34.993)</f>
        <v>34.993</v>
      </c>
      <c r="J369" s="3"/>
      <c r="K369" s="21"/>
      <c r="L369" s="21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</row>
    <row r="370">
      <c r="A370" s="12"/>
      <c r="B370" s="14" t="str">
        <f>IFERROR(__xludf.DUMMYFUNCTION("""COMPUTED_VALUE"""),"CA-2014-144414")</f>
        <v>CA-2014-144414</v>
      </c>
      <c r="C370" s="22">
        <f>IFERROR(__xludf.DUMMYFUNCTION("""COMPUTED_VALUE"""),41807.0)</f>
        <v>41807</v>
      </c>
      <c r="D370" s="14" t="str">
        <f>IFERROR(__xludf.DUMMYFUNCTION("""COMPUTED_VALUE"""),"Consumer")</f>
        <v>Consumer</v>
      </c>
      <c r="E370" s="14" t="str">
        <f>IFERROR(__xludf.DUMMYFUNCTION("""COMPUTED_VALUE"""),"Washington")</f>
        <v>Washington</v>
      </c>
      <c r="F370" s="14" t="str">
        <f>IFERROR(__xludf.DUMMYFUNCTION("""COMPUTED_VALUE"""),"West")</f>
        <v>West</v>
      </c>
      <c r="G370" s="14">
        <f>IFERROR(__xludf.DUMMYFUNCTION("""COMPUTED_VALUE"""),6.24)</f>
        <v>6.24</v>
      </c>
      <c r="H370" s="14">
        <f>IFERROR(__xludf.DUMMYFUNCTION("""COMPUTED_VALUE"""),3.0)</f>
        <v>3</v>
      </c>
      <c r="I370" s="14">
        <f>IFERROR(__xludf.DUMMYFUNCTION("""COMPUTED_VALUE"""),2.6208)</f>
        <v>2.6208</v>
      </c>
      <c r="J370" s="3"/>
      <c r="K370" s="21"/>
      <c r="L370" s="21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</row>
    <row r="371">
      <c r="A371" s="12"/>
      <c r="B371" s="14" t="str">
        <f>IFERROR(__xludf.DUMMYFUNCTION("""COMPUTED_VALUE"""),"CA-2014-101462")</f>
        <v>CA-2014-101462</v>
      </c>
      <c r="C371" s="22">
        <f>IFERROR(__xludf.DUMMYFUNCTION("""COMPUTED_VALUE"""),41749.0)</f>
        <v>41749</v>
      </c>
      <c r="D371" s="14" t="str">
        <f>IFERROR(__xludf.DUMMYFUNCTION("""COMPUTED_VALUE"""),"Consumer")</f>
        <v>Consumer</v>
      </c>
      <c r="E371" s="14" t="str">
        <f>IFERROR(__xludf.DUMMYFUNCTION("""COMPUTED_VALUE"""),"California")</f>
        <v>California</v>
      </c>
      <c r="F371" s="14" t="str">
        <f>IFERROR(__xludf.DUMMYFUNCTION("""COMPUTED_VALUE"""),"West")</f>
        <v>West</v>
      </c>
      <c r="G371" s="14">
        <f>IFERROR(__xludf.DUMMYFUNCTION("""COMPUTED_VALUE"""),59.92)</f>
        <v>59.92</v>
      </c>
      <c r="H371" s="14">
        <f>IFERROR(__xludf.DUMMYFUNCTION("""COMPUTED_VALUE"""),4.0)</f>
        <v>4</v>
      </c>
      <c r="I371" s="14">
        <f>IFERROR(__xludf.DUMMYFUNCTION("""COMPUTED_VALUE"""),27.5632)</f>
        <v>27.5632</v>
      </c>
      <c r="J371" s="3"/>
      <c r="K371" s="21"/>
      <c r="L371" s="21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</row>
    <row r="372">
      <c r="A372" s="12"/>
      <c r="B372" s="14" t="str">
        <f>IFERROR(__xludf.DUMMYFUNCTION("""COMPUTED_VALUE"""),"CA-2014-124394")</f>
        <v>CA-2014-124394</v>
      </c>
      <c r="C372" s="23">
        <f>IFERROR(__xludf.DUMMYFUNCTION("""COMPUTED_VALUE"""),41929.0)</f>
        <v>41929</v>
      </c>
      <c r="D372" s="14" t="str">
        <f>IFERROR(__xludf.DUMMYFUNCTION("""COMPUTED_VALUE"""),"Consumer")</f>
        <v>Consumer</v>
      </c>
      <c r="E372" s="14" t="str">
        <f>IFERROR(__xludf.DUMMYFUNCTION("""COMPUTED_VALUE"""),"Texas")</f>
        <v>Texas</v>
      </c>
      <c r="F372" s="14" t="str">
        <f>IFERROR(__xludf.DUMMYFUNCTION("""COMPUTED_VALUE"""),"Central")</f>
        <v>Central</v>
      </c>
      <c r="G372" s="14">
        <f>IFERROR(__xludf.DUMMYFUNCTION("""COMPUTED_VALUE"""),10.78)</f>
        <v>10.78</v>
      </c>
      <c r="H372" s="14">
        <f>IFERROR(__xludf.DUMMYFUNCTION("""COMPUTED_VALUE"""),5.0)</f>
        <v>5</v>
      </c>
      <c r="I372" s="14">
        <f>IFERROR(__xludf.DUMMYFUNCTION("""COMPUTED_VALUE"""),-17.248)</f>
        <v>-17.248</v>
      </c>
      <c r="J372" s="3"/>
      <c r="K372" s="21"/>
      <c r="L372" s="21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</row>
    <row r="373">
      <c r="A373" s="12"/>
      <c r="B373" s="14" t="str">
        <f>IFERROR(__xludf.DUMMYFUNCTION("""COMPUTED_VALUE"""),"CA-2014-126277")</f>
        <v>CA-2014-126277</v>
      </c>
      <c r="C373" s="22">
        <f>IFERROR(__xludf.DUMMYFUNCTION("""COMPUTED_VALUE"""),41895.0)</f>
        <v>41895</v>
      </c>
      <c r="D373" s="14" t="str">
        <f>IFERROR(__xludf.DUMMYFUNCTION("""COMPUTED_VALUE"""),"Consumer")</f>
        <v>Consumer</v>
      </c>
      <c r="E373" s="14" t="str">
        <f>IFERROR(__xludf.DUMMYFUNCTION("""COMPUTED_VALUE"""),"Ohio")</f>
        <v>Ohio</v>
      </c>
      <c r="F373" s="14" t="str">
        <f>IFERROR(__xludf.DUMMYFUNCTION("""COMPUTED_VALUE"""),"East")</f>
        <v>East</v>
      </c>
      <c r="G373" s="14">
        <f>IFERROR(__xludf.DUMMYFUNCTION("""COMPUTED_VALUE"""),2.502)</f>
        <v>2.502</v>
      </c>
      <c r="H373" s="14">
        <f>IFERROR(__xludf.DUMMYFUNCTION("""COMPUTED_VALUE"""),3.0)</f>
        <v>3</v>
      </c>
      <c r="I373" s="14">
        <f>IFERROR(__xludf.DUMMYFUNCTION("""COMPUTED_VALUE"""),-2.0016)</f>
        <v>-2.0016</v>
      </c>
      <c r="J373" s="3"/>
      <c r="K373" s="21"/>
      <c r="L373" s="21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</row>
    <row r="374">
      <c r="A374" s="12"/>
      <c r="B374" s="14" t="str">
        <f>IFERROR(__xludf.DUMMYFUNCTION("""COMPUTED_VALUE"""),"CA-2014-142510")</f>
        <v>CA-2014-142510</v>
      </c>
      <c r="C374" s="23">
        <f>IFERROR(__xludf.DUMMYFUNCTION("""COMPUTED_VALUE"""),41995.0)</f>
        <v>41995</v>
      </c>
      <c r="D374" s="14" t="str">
        <f>IFERROR(__xludf.DUMMYFUNCTION("""COMPUTED_VALUE"""),"Consumer")</f>
        <v>Consumer</v>
      </c>
      <c r="E374" s="14" t="str">
        <f>IFERROR(__xludf.DUMMYFUNCTION("""COMPUTED_VALUE"""),"Illinois")</f>
        <v>Illinois</v>
      </c>
      <c r="F374" s="14" t="str">
        <f>IFERROR(__xludf.DUMMYFUNCTION("""COMPUTED_VALUE"""),"Central")</f>
        <v>Central</v>
      </c>
      <c r="G374" s="14">
        <f>IFERROR(__xludf.DUMMYFUNCTION("""COMPUTED_VALUE"""),132.16)</f>
        <v>132.16</v>
      </c>
      <c r="H374" s="14">
        <f>IFERROR(__xludf.DUMMYFUNCTION("""COMPUTED_VALUE"""),1.0)</f>
        <v>1</v>
      </c>
      <c r="I374" s="14">
        <f>IFERROR(__xludf.DUMMYFUNCTION("""COMPUTED_VALUE"""),9.912)</f>
        <v>9.912</v>
      </c>
      <c r="J374" s="3"/>
      <c r="K374" s="21"/>
      <c r="L374" s="21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</row>
    <row r="375">
      <c r="A375" s="12"/>
      <c r="B375" s="14" t="str">
        <f>IFERROR(__xludf.DUMMYFUNCTION("""COMPUTED_VALUE"""),"CA-2014-164182")</f>
        <v>CA-2014-164182</v>
      </c>
      <c r="C375" s="22">
        <f>IFERROR(__xludf.DUMMYFUNCTION("""COMPUTED_VALUE"""),41834.0)</f>
        <v>41834</v>
      </c>
      <c r="D375" s="14" t="str">
        <f>IFERROR(__xludf.DUMMYFUNCTION("""COMPUTED_VALUE"""),"Consumer")</f>
        <v>Consumer</v>
      </c>
      <c r="E375" s="14" t="str">
        <f>IFERROR(__xludf.DUMMYFUNCTION("""COMPUTED_VALUE"""),"Pennsylvania")</f>
        <v>Pennsylvania</v>
      </c>
      <c r="F375" s="14" t="str">
        <f>IFERROR(__xludf.DUMMYFUNCTION("""COMPUTED_VALUE"""),"East")</f>
        <v>East</v>
      </c>
      <c r="G375" s="14">
        <f>IFERROR(__xludf.DUMMYFUNCTION("""COMPUTED_VALUE"""),13.494)</f>
        <v>13.494</v>
      </c>
      <c r="H375" s="14">
        <f>IFERROR(__xludf.DUMMYFUNCTION("""COMPUTED_VALUE"""),1.0)</f>
        <v>1</v>
      </c>
      <c r="I375" s="14">
        <f>IFERROR(__xludf.DUMMYFUNCTION("""COMPUTED_VALUE"""),-2.249)</f>
        <v>-2.249</v>
      </c>
      <c r="J375" s="3"/>
      <c r="K375" s="21"/>
      <c r="L375" s="21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</row>
    <row r="376">
      <c r="A376" s="12"/>
      <c r="B376" s="14" t="str">
        <f>IFERROR(__xludf.DUMMYFUNCTION("""COMPUTED_VALUE"""),"CA-2014-126963")</f>
        <v>CA-2014-126963</v>
      </c>
      <c r="C376" s="22">
        <f>IFERROR(__xludf.DUMMYFUNCTION("""COMPUTED_VALUE"""),41805.0)</f>
        <v>41805</v>
      </c>
      <c r="D376" s="14" t="str">
        <f>IFERROR(__xludf.DUMMYFUNCTION("""COMPUTED_VALUE"""),"Consumer")</f>
        <v>Consumer</v>
      </c>
      <c r="E376" s="14" t="str">
        <f>IFERROR(__xludf.DUMMYFUNCTION("""COMPUTED_VALUE"""),"Texas")</f>
        <v>Texas</v>
      </c>
      <c r="F376" s="14" t="str">
        <f>IFERROR(__xludf.DUMMYFUNCTION("""COMPUTED_VALUE"""),"Central")</f>
        <v>Central</v>
      </c>
      <c r="G376" s="14">
        <f>IFERROR(__xludf.DUMMYFUNCTION("""COMPUTED_VALUE"""),36.544)</f>
        <v>36.544</v>
      </c>
      <c r="H376" s="14">
        <f>IFERROR(__xludf.DUMMYFUNCTION("""COMPUTED_VALUE"""),2.0)</f>
        <v>2</v>
      </c>
      <c r="I376" s="14">
        <f>IFERROR(__xludf.DUMMYFUNCTION("""COMPUTED_VALUE"""),11.8768)</f>
        <v>11.8768</v>
      </c>
      <c r="J376" s="3"/>
      <c r="K376" s="21"/>
      <c r="L376" s="21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</row>
    <row r="377">
      <c r="A377" s="12"/>
      <c r="B377" s="14" t="str">
        <f>IFERROR(__xludf.DUMMYFUNCTION("""COMPUTED_VALUE"""),"US-2014-135881")</f>
        <v>US-2014-135881</v>
      </c>
      <c r="C377" s="22">
        <f>IFERROR(__xludf.DUMMYFUNCTION("""COMPUTED_VALUE"""),41782.0)</f>
        <v>41782</v>
      </c>
      <c r="D377" s="14" t="str">
        <f>IFERROR(__xludf.DUMMYFUNCTION("""COMPUTED_VALUE"""),"Consumer")</f>
        <v>Consumer</v>
      </c>
      <c r="E377" s="14" t="str">
        <f>IFERROR(__xludf.DUMMYFUNCTION("""COMPUTED_VALUE"""),"New York")</f>
        <v>New York</v>
      </c>
      <c r="F377" s="14" t="str">
        <f>IFERROR(__xludf.DUMMYFUNCTION("""COMPUTED_VALUE"""),"East")</f>
        <v>East</v>
      </c>
      <c r="G377" s="14">
        <f>IFERROR(__xludf.DUMMYFUNCTION("""COMPUTED_VALUE"""),17.96)</f>
        <v>17.96</v>
      </c>
      <c r="H377" s="14">
        <f>IFERROR(__xludf.DUMMYFUNCTION("""COMPUTED_VALUE"""),5.0)</f>
        <v>5</v>
      </c>
      <c r="I377" s="14">
        <f>IFERROR(__xludf.DUMMYFUNCTION("""COMPUTED_VALUE"""),5.837)</f>
        <v>5.837</v>
      </c>
      <c r="J377" s="3"/>
      <c r="K377" s="21"/>
      <c r="L377" s="21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</row>
    <row r="378">
      <c r="A378" s="12"/>
      <c r="B378" s="14" t="str">
        <f>IFERROR(__xludf.DUMMYFUNCTION("""COMPUTED_VALUE"""),"CA-2014-124737")</f>
        <v>CA-2014-124737</v>
      </c>
      <c r="C378" s="22">
        <f>IFERROR(__xludf.DUMMYFUNCTION("""COMPUTED_VALUE"""),41874.0)</f>
        <v>41874</v>
      </c>
      <c r="D378" s="14" t="str">
        <f>IFERROR(__xludf.DUMMYFUNCTION("""COMPUTED_VALUE"""),"Consumer")</f>
        <v>Consumer</v>
      </c>
      <c r="E378" s="14" t="str">
        <f>IFERROR(__xludf.DUMMYFUNCTION("""COMPUTED_VALUE"""),"Colorado")</f>
        <v>Colorado</v>
      </c>
      <c r="F378" s="14" t="str">
        <f>IFERROR(__xludf.DUMMYFUNCTION("""COMPUTED_VALUE"""),"West")</f>
        <v>West</v>
      </c>
      <c r="G378" s="14">
        <f>IFERROR(__xludf.DUMMYFUNCTION("""COMPUTED_VALUE"""),15.552)</f>
        <v>15.552</v>
      </c>
      <c r="H378" s="14">
        <f>IFERROR(__xludf.DUMMYFUNCTION("""COMPUTED_VALUE"""),3.0)</f>
        <v>3</v>
      </c>
      <c r="I378" s="14">
        <f>IFERROR(__xludf.DUMMYFUNCTION("""COMPUTED_VALUE"""),5.4432)</f>
        <v>5.4432</v>
      </c>
      <c r="J378" s="3"/>
      <c r="K378" s="21"/>
      <c r="L378" s="21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</row>
    <row r="379">
      <c r="A379" s="12"/>
      <c r="B379" s="14" t="str">
        <f>IFERROR(__xludf.DUMMYFUNCTION("""COMPUTED_VALUE"""),"CA-2014-124618")</f>
        <v>CA-2014-124618</v>
      </c>
      <c r="C379" s="22">
        <f>IFERROR(__xludf.DUMMYFUNCTION("""COMPUTED_VALUE"""),41761.0)</f>
        <v>41761</v>
      </c>
      <c r="D379" s="14" t="str">
        <f>IFERROR(__xludf.DUMMYFUNCTION("""COMPUTED_VALUE"""),"Consumer")</f>
        <v>Consumer</v>
      </c>
      <c r="E379" s="14" t="str">
        <f>IFERROR(__xludf.DUMMYFUNCTION("""COMPUTED_VALUE"""),"Florida")</f>
        <v>Florida</v>
      </c>
      <c r="F379" s="14" t="str">
        <f>IFERROR(__xludf.DUMMYFUNCTION("""COMPUTED_VALUE"""),"South")</f>
        <v>South</v>
      </c>
      <c r="G379" s="14">
        <f>IFERROR(__xludf.DUMMYFUNCTION("""COMPUTED_VALUE"""),479.984)</f>
        <v>479.984</v>
      </c>
      <c r="H379" s="14">
        <f>IFERROR(__xludf.DUMMYFUNCTION("""COMPUTED_VALUE"""),2.0)</f>
        <v>2</v>
      </c>
      <c r="I379" s="14">
        <f>IFERROR(__xludf.DUMMYFUNCTION("""COMPUTED_VALUE"""),89.997)</f>
        <v>89.997</v>
      </c>
      <c r="J379" s="3"/>
      <c r="K379" s="21"/>
      <c r="L379" s="21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</row>
    <row r="380">
      <c r="A380" s="12"/>
      <c r="B380" s="14" t="str">
        <f>IFERROR(__xludf.DUMMYFUNCTION("""COMPUTED_VALUE"""),"CA-2014-141901")</f>
        <v>CA-2014-141901</v>
      </c>
      <c r="C380" s="22">
        <f>IFERROR(__xludf.DUMMYFUNCTION("""COMPUTED_VALUE"""),41860.0)</f>
        <v>41860</v>
      </c>
      <c r="D380" s="14" t="str">
        <f>IFERROR(__xludf.DUMMYFUNCTION("""COMPUTED_VALUE"""),"Consumer")</f>
        <v>Consumer</v>
      </c>
      <c r="E380" s="14" t="str">
        <f>IFERROR(__xludf.DUMMYFUNCTION("""COMPUTED_VALUE"""),"California")</f>
        <v>California</v>
      </c>
      <c r="F380" s="14" t="str">
        <f>IFERROR(__xludf.DUMMYFUNCTION("""COMPUTED_VALUE"""),"West")</f>
        <v>West</v>
      </c>
      <c r="G380" s="14">
        <f>IFERROR(__xludf.DUMMYFUNCTION("""COMPUTED_VALUE"""),5.98)</f>
        <v>5.98</v>
      </c>
      <c r="H380" s="14">
        <f>IFERROR(__xludf.DUMMYFUNCTION("""COMPUTED_VALUE"""),1.0)</f>
        <v>1</v>
      </c>
      <c r="I380" s="14">
        <f>IFERROR(__xludf.DUMMYFUNCTION("""COMPUTED_VALUE"""),2.691)</f>
        <v>2.691</v>
      </c>
      <c r="J380" s="3"/>
      <c r="K380" s="21"/>
      <c r="L380" s="21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</row>
    <row r="381">
      <c r="A381" s="12"/>
      <c r="B381" s="14" t="str">
        <f>IFERROR(__xludf.DUMMYFUNCTION("""COMPUTED_VALUE"""),"CA-2014-159625")</f>
        <v>CA-2014-159625</v>
      </c>
      <c r="C381" s="23">
        <f>IFERROR(__xludf.DUMMYFUNCTION("""COMPUTED_VALUE"""),41966.0)</f>
        <v>41966</v>
      </c>
      <c r="D381" s="14" t="str">
        <f>IFERROR(__xludf.DUMMYFUNCTION("""COMPUTED_VALUE"""),"Consumer")</f>
        <v>Consumer</v>
      </c>
      <c r="E381" s="14" t="str">
        <f>IFERROR(__xludf.DUMMYFUNCTION("""COMPUTED_VALUE"""),"Arizona")</f>
        <v>Arizona</v>
      </c>
      <c r="F381" s="14" t="str">
        <f>IFERROR(__xludf.DUMMYFUNCTION("""COMPUTED_VALUE"""),"West")</f>
        <v>West</v>
      </c>
      <c r="G381" s="14">
        <f>IFERROR(__xludf.DUMMYFUNCTION("""COMPUTED_VALUE"""),23.472)</f>
        <v>23.472</v>
      </c>
      <c r="H381" s="14">
        <f>IFERROR(__xludf.DUMMYFUNCTION("""COMPUTED_VALUE"""),3.0)</f>
        <v>3</v>
      </c>
      <c r="I381" s="14">
        <f>IFERROR(__xludf.DUMMYFUNCTION("""COMPUTED_VALUE"""),8.802)</f>
        <v>8.802</v>
      </c>
      <c r="J381" s="3"/>
      <c r="K381" s="21"/>
      <c r="L381" s="21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</row>
    <row r="382">
      <c r="A382" s="12"/>
      <c r="B382" s="14" t="str">
        <f>IFERROR(__xludf.DUMMYFUNCTION("""COMPUTED_VALUE"""),"CA-2014-117478")</f>
        <v>CA-2014-117478</v>
      </c>
      <c r="C382" s="22">
        <f>IFERROR(__xludf.DUMMYFUNCTION("""COMPUTED_VALUE"""),41903.0)</f>
        <v>41903</v>
      </c>
      <c r="D382" s="14" t="str">
        <f>IFERROR(__xludf.DUMMYFUNCTION("""COMPUTED_VALUE"""),"Consumer")</f>
        <v>Consumer</v>
      </c>
      <c r="E382" s="14" t="str">
        <f>IFERROR(__xludf.DUMMYFUNCTION("""COMPUTED_VALUE"""),"Pennsylvania")</f>
        <v>Pennsylvania</v>
      </c>
      <c r="F382" s="14" t="str">
        <f>IFERROR(__xludf.DUMMYFUNCTION("""COMPUTED_VALUE"""),"East")</f>
        <v>East</v>
      </c>
      <c r="G382" s="14">
        <f>IFERROR(__xludf.DUMMYFUNCTION("""COMPUTED_VALUE"""),6.57)</f>
        <v>6.57</v>
      </c>
      <c r="H382" s="14">
        <f>IFERROR(__xludf.DUMMYFUNCTION("""COMPUTED_VALUE"""),3.0)</f>
        <v>3</v>
      </c>
      <c r="I382" s="14">
        <f>IFERROR(__xludf.DUMMYFUNCTION("""COMPUTED_VALUE"""),-5.037)</f>
        <v>-5.037</v>
      </c>
      <c r="J382" s="3"/>
      <c r="K382" s="21"/>
      <c r="L382" s="21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</row>
    <row r="383">
      <c r="A383" s="12"/>
      <c r="B383" s="14" t="str">
        <f>IFERROR(__xludf.DUMMYFUNCTION("""COMPUTED_VALUE"""),"CA-2014-143168")</f>
        <v>CA-2014-143168</v>
      </c>
      <c r="C383" s="23">
        <f>IFERROR(__xludf.DUMMYFUNCTION("""COMPUTED_VALUE"""),41930.0)</f>
        <v>41930</v>
      </c>
      <c r="D383" s="14" t="str">
        <f>IFERROR(__xludf.DUMMYFUNCTION("""COMPUTED_VALUE"""),"Consumer")</f>
        <v>Consumer</v>
      </c>
      <c r="E383" s="14" t="str">
        <f>IFERROR(__xludf.DUMMYFUNCTION("""COMPUTED_VALUE"""),"Washington")</f>
        <v>Washington</v>
      </c>
      <c r="F383" s="14" t="str">
        <f>IFERROR(__xludf.DUMMYFUNCTION("""COMPUTED_VALUE"""),"West")</f>
        <v>West</v>
      </c>
      <c r="G383" s="14">
        <f>IFERROR(__xludf.DUMMYFUNCTION("""COMPUTED_VALUE"""),61.96)</f>
        <v>61.96</v>
      </c>
      <c r="H383" s="14">
        <f>IFERROR(__xludf.DUMMYFUNCTION("""COMPUTED_VALUE"""),2.0)</f>
        <v>2</v>
      </c>
      <c r="I383" s="14">
        <f>IFERROR(__xludf.DUMMYFUNCTION("""COMPUTED_VALUE"""),27.882)</f>
        <v>27.882</v>
      </c>
      <c r="J383" s="3"/>
      <c r="K383" s="21"/>
      <c r="L383" s="21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</row>
    <row r="384">
      <c r="A384" s="12"/>
      <c r="B384" s="14" t="str">
        <f>IFERROR(__xludf.DUMMYFUNCTION("""COMPUTED_VALUE"""),"CA-2014-138709")</f>
        <v>CA-2014-138709</v>
      </c>
      <c r="C384" s="22">
        <f>IFERROR(__xludf.DUMMYFUNCTION("""COMPUTED_VALUE"""),41824.0)</f>
        <v>41824</v>
      </c>
      <c r="D384" s="14" t="str">
        <f>IFERROR(__xludf.DUMMYFUNCTION("""COMPUTED_VALUE"""),"Consumer")</f>
        <v>Consumer</v>
      </c>
      <c r="E384" s="14" t="str">
        <f>IFERROR(__xludf.DUMMYFUNCTION("""COMPUTED_VALUE"""),"Virginia")</f>
        <v>Virginia</v>
      </c>
      <c r="F384" s="14" t="str">
        <f>IFERROR(__xludf.DUMMYFUNCTION("""COMPUTED_VALUE"""),"South")</f>
        <v>South</v>
      </c>
      <c r="G384" s="14">
        <f>IFERROR(__xludf.DUMMYFUNCTION("""COMPUTED_VALUE"""),21.84)</f>
        <v>21.84</v>
      </c>
      <c r="H384" s="14">
        <f>IFERROR(__xludf.DUMMYFUNCTION("""COMPUTED_VALUE"""),3.0)</f>
        <v>3</v>
      </c>
      <c r="I384" s="14">
        <f>IFERROR(__xludf.DUMMYFUNCTION("""COMPUTED_VALUE"""),10.92)</f>
        <v>10.92</v>
      </c>
      <c r="J384" s="3"/>
      <c r="K384" s="21"/>
      <c r="L384" s="21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</row>
    <row r="385">
      <c r="A385" s="12"/>
      <c r="B385" s="14" t="str">
        <f>IFERROR(__xludf.DUMMYFUNCTION("""COMPUTED_VALUE"""),"CA-2014-117464")</f>
        <v>CA-2014-117464</v>
      </c>
      <c r="C385" s="22">
        <f>IFERROR(__xludf.DUMMYFUNCTION("""COMPUTED_VALUE"""),41842.0)</f>
        <v>41842</v>
      </c>
      <c r="D385" s="14" t="str">
        <f>IFERROR(__xludf.DUMMYFUNCTION("""COMPUTED_VALUE"""),"Consumer")</f>
        <v>Consumer</v>
      </c>
      <c r="E385" s="14" t="str">
        <f>IFERROR(__xludf.DUMMYFUNCTION("""COMPUTED_VALUE"""),"California")</f>
        <v>California</v>
      </c>
      <c r="F385" s="14" t="str">
        <f>IFERROR(__xludf.DUMMYFUNCTION("""COMPUTED_VALUE"""),"West")</f>
        <v>West</v>
      </c>
      <c r="G385" s="14">
        <f>IFERROR(__xludf.DUMMYFUNCTION("""COMPUTED_VALUE"""),11.52)</f>
        <v>11.52</v>
      </c>
      <c r="H385" s="14">
        <f>IFERROR(__xludf.DUMMYFUNCTION("""COMPUTED_VALUE"""),4.0)</f>
        <v>4</v>
      </c>
      <c r="I385" s="14">
        <f>IFERROR(__xludf.DUMMYFUNCTION("""COMPUTED_VALUE"""),3.2256)</f>
        <v>3.2256</v>
      </c>
      <c r="J385" s="3"/>
      <c r="K385" s="21"/>
      <c r="L385" s="21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</row>
    <row r="386">
      <c r="A386" s="12"/>
      <c r="B386" s="14" t="str">
        <f>IFERROR(__xludf.DUMMYFUNCTION("""COMPUTED_VALUE"""),"CA-2014-157546")</f>
        <v>CA-2014-157546</v>
      </c>
      <c r="C386" s="22">
        <f>IFERROR(__xludf.DUMMYFUNCTION("""COMPUTED_VALUE"""),41840.0)</f>
        <v>41840</v>
      </c>
      <c r="D386" s="14" t="str">
        <f>IFERROR(__xludf.DUMMYFUNCTION("""COMPUTED_VALUE"""),"Consumer")</f>
        <v>Consumer</v>
      </c>
      <c r="E386" s="14" t="str">
        <f>IFERROR(__xludf.DUMMYFUNCTION("""COMPUTED_VALUE"""),"California")</f>
        <v>California</v>
      </c>
      <c r="F386" s="14" t="str">
        <f>IFERROR(__xludf.DUMMYFUNCTION("""COMPUTED_VALUE"""),"West")</f>
        <v>West</v>
      </c>
      <c r="G386" s="14">
        <f>IFERROR(__xludf.DUMMYFUNCTION("""COMPUTED_VALUE"""),89.712)</f>
        <v>89.712</v>
      </c>
      <c r="H386" s="14">
        <f>IFERROR(__xludf.DUMMYFUNCTION("""COMPUTED_VALUE"""),6.0)</f>
        <v>6</v>
      </c>
      <c r="I386" s="14">
        <f>IFERROR(__xludf.DUMMYFUNCTION("""COMPUTED_VALUE"""),30.2778)</f>
        <v>30.2778</v>
      </c>
      <c r="J386" s="3"/>
      <c r="K386" s="21"/>
      <c r="L386" s="21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</row>
    <row r="387">
      <c r="A387" s="12"/>
      <c r="B387" s="14" t="str">
        <f>IFERROR(__xludf.DUMMYFUNCTION("""COMPUTED_VALUE"""),"CA-2014-138737")</f>
        <v>CA-2014-138737</v>
      </c>
      <c r="C387" s="22">
        <f>IFERROR(__xludf.DUMMYFUNCTION("""COMPUTED_VALUE"""),41980.0)</f>
        <v>41980</v>
      </c>
      <c r="D387" s="14" t="str">
        <f>IFERROR(__xludf.DUMMYFUNCTION("""COMPUTED_VALUE"""),"Consumer")</f>
        <v>Consumer</v>
      </c>
      <c r="E387" s="14" t="str">
        <f>IFERROR(__xludf.DUMMYFUNCTION("""COMPUTED_VALUE"""),"California")</f>
        <v>California</v>
      </c>
      <c r="F387" s="14" t="str">
        <f>IFERROR(__xludf.DUMMYFUNCTION("""COMPUTED_VALUE"""),"West")</f>
        <v>West</v>
      </c>
      <c r="G387" s="14">
        <f>IFERROR(__xludf.DUMMYFUNCTION("""COMPUTED_VALUE"""),8.64)</f>
        <v>8.64</v>
      </c>
      <c r="H387" s="14">
        <f>IFERROR(__xludf.DUMMYFUNCTION("""COMPUTED_VALUE"""),3.0)</f>
        <v>3</v>
      </c>
      <c r="I387" s="14">
        <f>IFERROR(__xludf.DUMMYFUNCTION("""COMPUTED_VALUE"""),2.4192)</f>
        <v>2.4192</v>
      </c>
      <c r="J387" s="3"/>
      <c r="K387" s="21"/>
      <c r="L387" s="21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</row>
    <row r="388">
      <c r="A388" s="12"/>
      <c r="B388" s="14" t="str">
        <f>IFERROR(__xludf.DUMMYFUNCTION("""COMPUTED_VALUE"""),"CA-2014-111899")</f>
        <v>CA-2014-111899</v>
      </c>
      <c r="C388" s="22">
        <f>IFERROR(__xludf.DUMMYFUNCTION("""COMPUTED_VALUE"""),41763.0)</f>
        <v>41763</v>
      </c>
      <c r="D388" s="14" t="str">
        <f>IFERROR(__xludf.DUMMYFUNCTION("""COMPUTED_VALUE"""),"Consumer")</f>
        <v>Consumer</v>
      </c>
      <c r="E388" s="14" t="str">
        <f>IFERROR(__xludf.DUMMYFUNCTION("""COMPUTED_VALUE"""),"Texas")</f>
        <v>Texas</v>
      </c>
      <c r="F388" s="14" t="str">
        <f>IFERROR(__xludf.DUMMYFUNCTION("""COMPUTED_VALUE"""),"Central")</f>
        <v>Central</v>
      </c>
      <c r="G388" s="14">
        <f>IFERROR(__xludf.DUMMYFUNCTION("""COMPUTED_VALUE"""),37.84)</f>
        <v>37.84</v>
      </c>
      <c r="H388" s="14">
        <f>IFERROR(__xludf.DUMMYFUNCTION("""COMPUTED_VALUE"""),2.0)</f>
        <v>2</v>
      </c>
      <c r="I388" s="14">
        <f>IFERROR(__xludf.DUMMYFUNCTION("""COMPUTED_VALUE"""),2.838)</f>
        <v>2.838</v>
      </c>
      <c r="J388" s="3"/>
      <c r="K388" s="21"/>
      <c r="L388" s="21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</row>
    <row r="389">
      <c r="A389" s="12"/>
      <c r="B389" s="14" t="str">
        <f>IFERROR(__xludf.DUMMYFUNCTION("""COMPUTED_VALUE"""),"CA-2014-163468")</f>
        <v>CA-2014-163468</v>
      </c>
      <c r="C389" s="23">
        <f>IFERROR(__xludf.DUMMYFUNCTION("""COMPUTED_VALUE"""),41961.0)</f>
        <v>41961</v>
      </c>
      <c r="D389" s="14" t="str">
        <f>IFERROR(__xludf.DUMMYFUNCTION("""COMPUTED_VALUE"""),"Consumer")</f>
        <v>Consumer</v>
      </c>
      <c r="E389" s="14" t="str">
        <f>IFERROR(__xludf.DUMMYFUNCTION("""COMPUTED_VALUE"""),"Illinois")</f>
        <v>Illinois</v>
      </c>
      <c r="F389" s="14" t="str">
        <f>IFERROR(__xludf.DUMMYFUNCTION("""COMPUTED_VALUE"""),"Central")</f>
        <v>Central</v>
      </c>
      <c r="G389" s="14">
        <f>IFERROR(__xludf.DUMMYFUNCTION("""COMPUTED_VALUE"""),292.1)</f>
        <v>292.1</v>
      </c>
      <c r="H389" s="14">
        <f>IFERROR(__xludf.DUMMYFUNCTION("""COMPUTED_VALUE"""),4.0)</f>
        <v>4</v>
      </c>
      <c r="I389" s="14">
        <f>IFERROR(__xludf.DUMMYFUNCTION("""COMPUTED_VALUE"""),-175.26)</f>
        <v>-175.26</v>
      </c>
      <c r="J389" s="3"/>
      <c r="K389" s="21"/>
      <c r="L389" s="21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</row>
    <row r="390">
      <c r="A390" s="12"/>
      <c r="B390" s="14" t="str">
        <f>IFERROR(__xludf.DUMMYFUNCTION("""COMPUTED_VALUE"""),"CA-2014-137274")</f>
        <v>CA-2014-137274</v>
      </c>
      <c r="C390" s="22">
        <f>IFERROR(__xludf.DUMMYFUNCTION("""COMPUTED_VALUE"""),41727.0)</f>
        <v>41727</v>
      </c>
      <c r="D390" s="14" t="str">
        <f>IFERROR(__xludf.DUMMYFUNCTION("""COMPUTED_VALUE"""),"Consumer")</f>
        <v>Consumer</v>
      </c>
      <c r="E390" s="14" t="str">
        <f>IFERROR(__xludf.DUMMYFUNCTION("""COMPUTED_VALUE"""),"Texas")</f>
        <v>Texas</v>
      </c>
      <c r="F390" s="14" t="str">
        <f>IFERROR(__xludf.DUMMYFUNCTION("""COMPUTED_VALUE"""),"Central")</f>
        <v>Central</v>
      </c>
      <c r="G390" s="14">
        <f>IFERROR(__xludf.DUMMYFUNCTION("""COMPUTED_VALUE"""),890.841)</f>
        <v>890.841</v>
      </c>
      <c r="H390" s="14">
        <f>IFERROR(__xludf.DUMMYFUNCTION("""COMPUTED_VALUE"""),3.0)</f>
        <v>3</v>
      </c>
      <c r="I390" s="14">
        <f>IFERROR(__xludf.DUMMYFUNCTION("""COMPUTED_VALUE"""),-152.7156)</f>
        <v>-152.7156</v>
      </c>
      <c r="J390" s="3"/>
      <c r="K390" s="21"/>
      <c r="L390" s="21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</row>
    <row r="391">
      <c r="A391" s="12"/>
      <c r="B391" s="14" t="str">
        <f>IFERROR(__xludf.DUMMYFUNCTION("""COMPUTED_VALUE"""),"CA-2014-116190")</f>
        <v>CA-2014-116190</v>
      </c>
      <c r="C391" s="22">
        <f>IFERROR(__xludf.DUMMYFUNCTION("""COMPUTED_VALUE"""),41846.0)</f>
        <v>41846</v>
      </c>
      <c r="D391" s="14" t="str">
        <f>IFERROR(__xludf.DUMMYFUNCTION("""COMPUTED_VALUE"""),"Consumer")</f>
        <v>Consumer</v>
      </c>
      <c r="E391" s="14" t="str">
        <f>IFERROR(__xludf.DUMMYFUNCTION("""COMPUTED_VALUE"""),"Georgia")</f>
        <v>Georgia</v>
      </c>
      <c r="F391" s="14" t="str">
        <f>IFERROR(__xludf.DUMMYFUNCTION("""COMPUTED_VALUE"""),"South")</f>
        <v>South</v>
      </c>
      <c r="G391" s="14">
        <f>IFERROR(__xludf.DUMMYFUNCTION("""COMPUTED_VALUE"""),67.88)</f>
        <v>67.88</v>
      </c>
      <c r="H391" s="14">
        <f>IFERROR(__xludf.DUMMYFUNCTION("""COMPUTED_VALUE"""),2.0)</f>
        <v>2</v>
      </c>
      <c r="I391" s="14">
        <f>IFERROR(__xludf.DUMMYFUNCTION("""COMPUTED_VALUE"""),18.3276)</f>
        <v>18.3276</v>
      </c>
      <c r="J391" s="3"/>
      <c r="K391" s="21"/>
      <c r="L391" s="21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</row>
    <row r="392">
      <c r="A392" s="12"/>
      <c r="B392" s="14" t="str">
        <f>IFERROR(__xludf.DUMMYFUNCTION("""COMPUTED_VALUE"""),"CA-2014-168473")</f>
        <v>CA-2014-168473</v>
      </c>
      <c r="C392" s="23">
        <f>IFERROR(__xludf.DUMMYFUNCTION("""COMPUTED_VALUE"""),41999.0)</f>
        <v>41999</v>
      </c>
      <c r="D392" s="14" t="str">
        <f>IFERROR(__xludf.DUMMYFUNCTION("""COMPUTED_VALUE"""),"Consumer")</f>
        <v>Consumer</v>
      </c>
      <c r="E392" s="14" t="str">
        <f>IFERROR(__xludf.DUMMYFUNCTION("""COMPUTED_VALUE"""),"New York")</f>
        <v>New York</v>
      </c>
      <c r="F392" s="14" t="str">
        <f>IFERROR(__xludf.DUMMYFUNCTION("""COMPUTED_VALUE"""),"East")</f>
        <v>East</v>
      </c>
      <c r="G392" s="14">
        <f>IFERROR(__xludf.DUMMYFUNCTION("""COMPUTED_VALUE"""),191.88)</f>
        <v>191.88</v>
      </c>
      <c r="H392" s="14">
        <f>IFERROR(__xludf.DUMMYFUNCTION("""COMPUTED_VALUE"""),6.0)</f>
        <v>6</v>
      </c>
      <c r="I392" s="14">
        <f>IFERROR(__xludf.DUMMYFUNCTION("""COMPUTED_VALUE"""),19.188)</f>
        <v>19.188</v>
      </c>
      <c r="J392" s="3"/>
      <c r="K392" s="21"/>
      <c r="L392" s="21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</row>
    <row r="393">
      <c r="A393" s="12"/>
      <c r="B393" s="14" t="str">
        <f>IFERROR(__xludf.DUMMYFUNCTION("""COMPUTED_VALUE"""),"CA-2014-130421")</f>
        <v>CA-2014-130421</v>
      </c>
      <c r="C393" s="22">
        <f>IFERROR(__xludf.DUMMYFUNCTION("""COMPUTED_VALUE"""),41701.0)</f>
        <v>41701</v>
      </c>
      <c r="D393" s="14" t="str">
        <f>IFERROR(__xludf.DUMMYFUNCTION("""COMPUTED_VALUE"""),"Consumer")</f>
        <v>Consumer</v>
      </c>
      <c r="E393" s="14" t="str">
        <f>IFERROR(__xludf.DUMMYFUNCTION("""COMPUTED_VALUE"""),"Texas")</f>
        <v>Texas</v>
      </c>
      <c r="F393" s="14" t="str">
        <f>IFERROR(__xludf.DUMMYFUNCTION("""COMPUTED_VALUE"""),"Central")</f>
        <v>Central</v>
      </c>
      <c r="G393" s="14">
        <f>IFERROR(__xludf.DUMMYFUNCTION("""COMPUTED_VALUE"""),176.772)</f>
        <v>176.772</v>
      </c>
      <c r="H393" s="14">
        <f>IFERROR(__xludf.DUMMYFUNCTION("""COMPUTED_VALUE"""),3.0)</f>
        <v>3</v>
      </c>
      <c r="I393" s="14">
        <f>IFERROR(__xludf.DUMMYFUNCTION("""COMPUTED_VALUE"""),-459.6072)</f>
        <v>-459.6072</v>
      </c>
      <c r="J393" s="3"/>
      <c r="K393" s="21"/>
      <c r="L393" s="21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</row>
    <row r="394">
      <c r="A394" s="12"/>
      <c r="B394" s="14" t="str">
        <f>IFERROR(__xludf.DUMMYFUNCTION("""COMPUTED_VALUE"""),"CA-2014-124807")</f>
        <v>CA-2014-124807</v>
      </c>
      <c r="C394" s="22">
        <f>IFERROR(__xludf.DUMMYFUNCTION("""COMPUTED_VALUE"""),41832.0)</f>
        <v>41832</v>
      </c>
      <c r="D394" s="14" t="str">
        <f>IFERROR(__xludf.DUMMYFUNCTION("""COMPUTED_VALUE"""),"Consumer")</f>
        <v>Consumer</v>
      </c>
      <c r="E394" s="14" t="str">
        <f>IFERROR(__xludf.DUMMYFUNCTION("""COMPUTED_VALUE"""),"Illinois")</f>
        <v>Illinois</v>
      </c>
      <c r="F394" s="14" t="str">
        <f>IFERROR(__xludf.DUMMYFUNCTION("""COMPUTED_VALUE"""),"Central")</f>
        <v>Central</v>
      </c>
      <c r="G394" s="14">
        <f>IFERROR(__xludf.DUMMYFUNCTION("""COMPUTED_VALUE"""),35.856)</f>
        <v>35.856</v>
      </c>
      <c r="H394" s="14">
        <f>IFERROR(__xludf.DUMMYFUNCTION("""COMPUTED_VALUE"""),9.0)</f>
        <v>9</v>
      </c>
      <c r="I394" s="14">
        <f>IFERROR(__xludf.DUMMYFUNCTION("""COMPUTED_VALUE"""),12.9978)</f>
        <v>12.9978</v>
      </c>
      <c r="J394" s="3"/>
      <c r="K394" s="21"/>
      <c r="L394" s="21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</row>
    <row r="395">
      <c r="A395" s="12"/>
      <c r="B395" s="14" t="str">
        <f>IFERROR(__xludf.DUMMYFUNCTION("""COMPUTED_VALUE"""),"CA-2014-121769")</f>
        <v>CA-2014-121769</v>
      </c>
      <c r="C395" s="22">
        <f>IFERROR(__xludf.DUMMYFUNCTION("""COMPUTED_VALUE"""),41737.0)</f>
        <v>41737</v>
      </c>
      <c r="D395" s="14" t="str">
        <f>IFERROR(__xludf.DUMMYFUNCTION("""COMPUTED_VALUE"""),"Consumer")</f>
        <v>Consumer</v>
      </c>
      <c r="E395" s="14" t="str">
        <f>IFERROR(__xludf.DUMMYFUNCTION("""COMPUTED_VALUE"""),"Ohio")</f>
        <v>Ohio</v>
      </c>
      <c r="F395" s="14" t="str">
        <f>IFERROR(__xludf.DUMMYFUNCTION("""COMPUTED_VALUE"""),"East")</f>
        <v>East</v>
      </c>
      <c r="G395" s="14">
        <f>IFERROR(__xludf.DUMMYFUNCTION("""COMPUTED_VALUE"""),172.11)</f>
        <v>172.11</v>
      </c>
      <c r="H395" s="14">
        <f>IFERROR(__xludf.DUMMYFUNCTION("""COMPUTED_VALUE"""),1.0)</f>
        <v>1</v>
      </c>
      <c r="I395" s="14">
        <f>IFERROR(__xludf.DUMMYFUNCTION("""COMPUTED_VALUE"""),-94.6605)</f>
        <v>-94.6605</v>
      </c>
      <c r="J395" s="3"/>
      <c r="K395" s="21"/>
      <c r="L395" s="21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</row>
    <row r="396">
      <c r="A396" s="12"/>
      <c r="B396" s="14" t="str">
        <f>IFERROR(__xludf.DUMMYFUNCTION("""COMPUTED_VALUE"""),"CA-2014-103058")</f>
        <v>CA-2014-103058</v>
      </c>
      <c r="C396" s="22">
        <f>IFERROR(__xludf.DUMMYFUNCTION("""COMPUTED_VALUE"""),41843.0)</f>
        <v>41843</v>
      </c>
      <c r="D396" s="14" t="str">
        <f>IFERROR(__xludf.DUMMYFUNCTION("""COMPUTED_VALUE"""),"Consumer")</f>
        <v>Consumer</v>
      </c>
      <c r="E396" s="14" t="str">
        <f>IFERROR(__xludf.DUMMYFUNCTION("""COMPUTED_VALUE"""),"New York")</f>
        <v>New York</v>
      </c>
      <c r="F396" s="14" t="str">
        <f>IFERROR(__xludf.DUMMYFUNCTION("""COMPUTED_VALUE"""),"East")</f>
        <v>East</v>
      </c>
      <c r="G396" s="14">
        <f>IFERROR(__xludf.DUMMYFUNCTION("""COMPUTED_VALUE"""),99.98)</f>
        <v>99.98</v>
      </c>
      <c r="H396" s="14">
        <f>IFERROR(__xludf.DUMMYFUNCTION("""COMPUTED_VALUE"""),2.0)</f>
        <v>2</v>
      </c>
      <c r="I396" s="14">
        <f>IFERROR(__xludf.DUMMYFUNCTION("""COMPUTED_VALUE"""),7.9984)</f>
        <v>7.9984</v>
      </c>
      <c r="J396" s="3"/>
      <c r="K396" s="21"/>
      <c r="L396" s="21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</row>
    <row r="397">
      <c r="A397" s="12"/>
      <c r="B397" s="14" t="str">
        <f>IFERROR(__xludf.DUMMYFUNCTION("""COMPUTED_VALUE"""),"CA-2014-161249")</f>
        <v>CA-2014-161249</v>
      </c>
      <c r="C397" s="22">
        <f>IFERROR(__xludf.DUMMYFUNCTION("""COMPUTED_VALUE"""),41860.0)</f>
        <v>41860</v>
      </c>
      <c r="D397" s="14" t="str">
        <f>IFERROR(__xludf.DUMMYFUNCTION("""COMPUTED_VALUE"""),"Consumer")</f>
        <v>Consumer</v>
      </c>
      <c r="E397" s="14" t="str">
        <f>IFERROR(__xludf.DUMMYFUNCTION("""COMPUTED_VALUE"""),"Arizona")</f>
        <v>Arizona</v>
      </c>
      <c r="F397" s="14" t="str">
        <f>IFERROR(__xludf.DUMMYFUNCTION("""COMPUTED_VALUE"""),"West")</f>
        <v>West</v>
      </c>
      <c r="G397" s="14">
        <f>IFERROR(__xludf.DUMMYFUNCTION("""COMPUTED_VALUE"""),4.464)</f>
        <v>4.464</v>
      </c>
      <c r="H397" s="14">
        <f>IFERROR(__xludf.DUMMYFUNCTION("""COMPUTED_VALUE"""),3.0)</f>
        <v>3</v>
      </c>
      <c r="I397" s="14">
        <f>IFERROR(__xludf.DUMMYFUNCTION("""COMPUTED_VALUE"""),-0.9486)</f>
        <v>-0.9486</v>
      </c>
      <c r="J397" s="3"/>
      <c r="K397" s="21"/>
      <c r="L397" s="21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</row>
    <row r="398">
      <c r="A398" s="12"/>
      <c r="B398" s="14" t="str">
        <f>IFERROR(__xludf.DUMMYFUNCTION("""COMPUTED_VALUE"""),"CA-2014-138100")</f>
        <v>CA-2014-138100</v>
      </c>
      <c r="C398" s="22">
        <f>IFERROR(__xludf.DUMMYFUNCTION("""COMPUTED_VALUE"""),41897.0)</f>
        <v>41897</v>
      </c>
      <c r="D398" s="14" t="str">
        <f>IFERROR(__xludf.DUMMYFUNCTION("""COMPUTED_VALUE"""),"Consumer")</f>
        <v>Consumer</v>
      </c>
      <c r="E398" s="14" t="str">
        <f>IFERROR(__xludf.DUMMYFUNCTION("""COMPUTED_VALUE"""),"New York")</f>
        <v>New York</v>
      </c>
      <c r="F398" s="14" t="str">
        <f>IFERROR(__xludf.DUMMYFUNCTION("""COMPUTED_VALUE"""),"East")</f>
        <v>East</v>
      </c>
      <c r="G398" s="14">
        <f>IFERROR(__xludf.DUMMYFUNCTION("""COMPUTED_VALUE"""),14.94)</f>
        <v>14.94</v>
      </c>
      <c r="H398" s="14">
        <f>IFERROR(__xludf.DUMMYFUNCTION("""COMPUTED_VALUE"""),3.0)</f>
        <v>3</v>
      </c>
      <c r="I398" s="14">
        <f>IFERROR(__xludf.DUMMYFUNCTION("""COMPUTED_VALUE"""),7.0218)</f>
        <v>7.0218</v>
      </c>
      <c r="J398" s="3"/>
      <c r="K398" s="21"/>
      <c r="L398" s="21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</row>
    <row r="399">
      <c r="A399" s="12"/>
      <c r="B399" s="14" t="str">
        <f>IFERROR(__xludf.DUMMYFUNCTION("""COMPUTED_VALUE"""),"CA-2014-115889")</f>
        <v>CA-2014-115889</v>
      </c>
      <c r="C399" s="22">
        <f>IFERROR(__xludf.DUMMYFUNCTION("""COMPUTED_VALUE"""),41945.0)</f>
        <v>41945</v>
      </c>
      <c r="D399" s="14" t="str">
        <f>IFERROR(__xludf.DUMMYFUNCTION("""COMPUTED_VALUE"""),"Consumer")</f>
        <v>Consumer</v>
      </c>
      <c r="E399" s="14" t="str">
        <f>IFERROR(__xludf.DUMMYFUNCTION("""COMPUTED_VALUE"""),"California")</f>
        <v>California</v>
      </c>
      <c r="F399" s="14" t="str">
        <f>IFERROR(__xludf.DUMMYFUNCTION("""COMPUTED_VALUE"""),"West")</f>
        <v>West</v>
      </c>
      <c r="G399" s="14">
        <f>IFERROR(__xludf.DUMMYFUNCTION("""COMPUTED_VALUE"""),46.384)</f>
        <v>46.384</v>
      </c>
      <c r="H399" s="14">
        <f>IFERROR(__xludf.DUMMYFUNCTION("""COMPUTED_VALUE"""),2.0)</f>
        <v>2</v>
      </c>
      <c r="I399" s="14">
        <f>IFERROR(__xludf.DUMMYFUNCTION("""COMPUTED_VALUE"""),5.2182)</f>
        <v>5.2182</v>
      </c>
      <c r="J399" s="3"/>
      <c r="K399" s="21"/>
      <c r="L399" s="21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</row>
    <row r="400">
      <c r="A400" s="12"/>
      <c r="B400" s="14" t="str">
        <f>IFERROR(__xludf.DUMMYFUNCTION("""COMPUTED_VALUE"""),"CA-2014-125731")</f>
        <v>CA-2014-125731</v>
      </c>
      <c r="C400" s="22">
        <f>IFERROR(__xludf.DUMMYFUNCTION("""COMPUTED_VALUE"""),41892.0)</f>
        <v>41892</v>
      </c>
      <c r="D400" s="14" t="str">
        <f>IFERROR(__xludf.DUMMYFUNCTION("""COMPUTED_VALUE"""),"Consumer")</f>
        <v>Consumer</v>
      </c>
      <c r="E400" s="14" t="str">
        <f>IFERROR(__xludf.DUMMYFUNCTION("""COMPUTED_VALUE"""),"Oregon")</f>
        <v>Oregon</v>
      </c>
      <c r="F400" s="14" t="str">
        <f>IFERROR(__xludf.DUMMYFUNCTION("""COMPUTED_VALUE"""),"West")</f>
        <v>West</v>
      </c>
      <c r="G400" s="14">
        <f>IFERROR(__xludf.DUMMYFUNCTION("""COMPUTED_VALUE"""),21.728)</f>
        <v>21.728</v>
      </c>
      <c r="H400" s="14">
        <f>IFERROR(__xludf.DUMMYFUNCTION("""COMPUTED_VALUE"""),7.0)</f>
        <v>7</v>
      </c>
      <c r="I400" s="14">
        <f>IFERROR(__xludf.DUMMYFUNCTION("""COMPUTED_VALUE"""),7.6048)</f>
        <v>7.6048</v>
      </c>
      <c r="J400" s="3"/>
      <c r="K400" s="21"/>
      <c r="L400" s="21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</row>
    <row r="401">
      <c r="A401" s="12"/>
      <c r="B401" s="14" t="str">
        <f>IFERROR(__xludf.DUMMYFUNCTION("""COMPUTED_VALUE"""),"CA-2014-114181")</f>
        <v>CA-2014-114181</v>
      </c>
      <c r="C401" s="22">
        <f>IFERROR(__xludf.DUMMYFUNCTION("""COMPUTED_VALUE"""),41769.0)</f>
        <v>41769</v>
      </c>
      <c r="D401" s="14" t="str">
        <f>IFERROR(__xludf.DUMMYFUNCTION("""COMPUTED_VALUE"""),"Consumer")</f>
        <v>Consumer</v>
      </c>
      <c r="E401" s="14" t="str">
        <f>IFERROR(__xludf.DUMMYFUNCTION("""COMPUTED_VALUE"""),"Pennsylvania")</f>
        <v>Pennsylvania</v>
      </c>
      <c r="F401" s="14" t="str">
        <f>IFERROR(__xludf.DUMMYFUNCTION("""COMPUTED_VALUE"""),"East")</f>
        <v>East</v>
      </c>
      <c r="G401" s="14">
        <f>IFERROR(__xludf.DUMMYFUNCTION("""COMPUTED_VALUE"""),349.965)</f>
        <v>349.965</v>
      </c>
      <c r="H401" s="14">
        <f>IFERROR(__xludf.DUMMYFUNCTION("""COMPUTED_VALUE"""),7.0)</f>
        <v>7</v>
      </c>
      <c r="I401" s="14">
        <f>IFERROR(__xludf.DUMMYFUNCTION("""COMPUTED_VALUE"""),-216.9783)</f>
        <v>-216.9783</v>
      </c>
      <c r="J401" s="3"/>
      <c r="K401" s="21"/>
      <c r="L401" s="21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</row>
    <row r="402">
      <c r="A402" s="12"/>
      <c r="B402" s="14" t="str">
        <f>IFERROR(__xludf.DUMMYFUNCTION("""COMPUTED_VALUE"""),"US-2014-137155")</f>
        <v>US-2014-137155</v>
      </c>
      <c r="C402" s="22">
        <f>IFERROR(__xludf.DUMMYFUNCTION("""COMPUTED_VALUE"""),41944.0)</f>
        <v>41944</v>
      </c>
      <c r="D402" s="14" t="str">
        <f>IFERROR(__xludf.DUMMYFUNCTION("""COMPUTED_VALUE"""),"Consumer")</f>
        <v>Consumer</v>
      </c>
      <c r="E402" s="14" t="str">
        <f>IFERROR(__xludf.DUMMYFUNCTION("""COMPUTED_VALUE"""),"New York")</f>
        <v>New York</v>
      </c>
      <c r="F402" s="14" t="str">
        <f>IFERROR(__xludf.DUMMYFUNCTION("""COMPUTED_VALUE"""),"East")</f>
        <v>East</v>
      </c>
      <c r="G402" s="14">
        <f>IFERROR(__xludf.DUMMYFUNCTION("""COMPUTED_VALUE"""),533.94)</f>
        <v>533.94</v>
      </c>
      <c r="H402" s="14">
        <f>IFERROR(__xludf.DUMMYFUNCTION("""COMPUTED_VALUE"""),3.0)</f>
        <v>3</v>
      </c>
      <c r="I402" s="14">
        <f>IFERROR(__xludf.DUMMYFUNCTION("""COMPUTED_VALUE"""),154.8426)</f>
        <v>154.8426</v>
      </c>
      <c r="J402" s="3"/>
      <c r="K402" s="21"/>
      <c r="L402" s="21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</row>
    <row r="403">
      <c r="A403" s="12"/>
      <c r="B403" s="14" t="str">
        <f>IFERROR(__xludf.DUMMYFUNCTION("""COMPUTED_VALUE"""),"CA-2014-133830")</f>
        <v>CA-2014-133830</v>
      </c>
      <c r="C403" s="22">
        <f>IFERROR(__xludf.DUMMYFUNCTION("""COMPUTED_VALUE"""),41978.0)</f>
        <v>41978</v>
      </c>
      <c r="D403" s="14" t="str">
        <f>IFERROR(__xludf.DUMMYFUNCTION("""COMPUTED_VALUE"""),"Consumer")</f>
        <v>Consumer</v>
      </c>
      <c r="E403" s="14" t="str">
        <f>IFERROR(__xludf.DUMMYFUNCTION("""COMPUTED_VALUE"""),"California")</f>
        <v>California</v>
      </c>
      <c r="F403" s="14" t="str">
        <f>IFERROR(__xludf.DUMMYFUNCTION("""COMPUTED_VALUE"""),"West")</f>
        <v>West</v>
      </c>
      <c r="G403" s="14">
        <f>IFERROR(__xludf.DUMMYFUNCTION("""COMPUTED_VALUE"""),26.46)</f>
        <v>26.46</v>
      </c>
      <c r="H403" s="14">
        <f>IFERROR(__xludf.DUMMYFUNCTION("""COMPUTED_VALUE"""),9.0)</f>
        <v>9</v>
      </c>
      <c r="I403" s="14">
        <f>IFERROR(__xludf.DUMMYFUNCTION("""COMPUTED_VALUE"""),11.907)</f>
        <v>11.907</v>
      </c>
      <c r="J403" s="3"/>
      <c r="K403" s="21"/>
      <c r="L403" s="21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</row>
    <row r="404">
      <c r="A404" s="12"/>
      <c r="B404" s="14" t="str">
        <f>IFERROR(__xludf.DUMMYFUNCTION("""COMPUTED_VALUE"""),"CA-2014-131947")</f>
        <v>CA-2014-131947</v>
      </c>
      <c r="C404" s="22">
        <f>IFERROR(__xludf.DUMMYFUNCTION("""COMPUTED_VALUE"""),41899.0)</f>
        <v>41899</v>
      </c>
      <c r="D404" s="14" t="str">
        <f>IFERROR(__xludf.DUMMYFUNCTION("""COMPUTED_VALUE"""),"Consumer")</f>
        <v>Consumer</v>
      </c>
      <c r="E404" s="14" t="str">
        <f>IFERROR(__xludf.DUMMYFUNCTION("""COMPUTED_VALUE"""),"Oregon")</f>
        <v>Oregon</v>
      </c>
      <c r="F404" s="14" t="str">
        <f>IFERROR(__xludf.DUMMYFUNCTION("""COMPUTED_VALUE"""),"West")</f>
        <v>West</v>
      </c>
      <c r="G404" s="14">
        <f>IFERROR(__xludf.DUMMYFUNCTION("""COMPUTED_VALUE"""),5.248)</f>
        <v>5.248</v>
      </c>
      <c r="H404" s="14">
        <f>IFERROR(__xludf.DUMMYFUNCTION("""COMPUTED_VALUE"""),2.0)</f>
        <v>2</v>
      </c>
      <c r="I404" s="14">
        <f>IFERROR(__xludf.DUMMYFUNCTION("""COMPUTED_VALUE"""),0.4592)</f>
        <v>0.4592</v>
      </c>
      <c r="J404" s="3"/>
      <c r="K404" s="21"/>
      <c r="L404" s="21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</row>
    <row r="405">
      <c r="A405" s="12"/>
      <c r="B405" s="14" t="str">
        <f>IFERROR(__xludf.DUMMYFUNCTION("""COMPUTED_VALUE"""),"CA-2014-133354")</f>
        <v>CA-2014-133354</v>
      </c>
      <c r="C405" s="22">
        <f>IFERROR(__xludf.DUMMYFUNCTION("""COMPUTED_VALUE"""),41692.0)</f>
        <v>41692</v>
      </c>
      <c r="D405" s="14" t="str">
        <f>IFERROR(__xludf.DUMMYFUNCTION("""COMPUTED_VALUE"""),"Consumer")</f>
        <v>Consumer</v>
      </c>
      <c r="E405" s="14" t="str">
        <f>IFERROR(__xludf.DUMMYFUNCTION("""COMPUTED_VALUE"""),"California")</f>
        <v>California</v>
      </c>
      <c r="F405" s="14" t="str">
        <f>IFERROR(__xludf.DUMMYFUNCTION("""COMPUTED_VALUE"""),"West")</f>
        <v>West</v>
      </c>
      <c r="G405" s="14">
        <f>IFERROR(__xludf.DUMMYFUNCTION("""COMPUTED_VALUE"""),19.44)</f>
        <v>19.44</v>
      </c>
      <c r="H405" s="14">
        <f>IFERROR(__xludf.DUMMYFUNCTION("""COMPUTED_VALUE"""),3.0)</f>
        <v>3</v>
      </c>
      <c r="I405" s="14">
        <f>IFERROR(__xludf.DUMMYFUNCTION("""COMPUTED_VALUE"""),9.3312)</f>
        <v>9.3312</v>
      </c>
      <c r="J405" s="3"/>
      <c r="K405" s="21"/>
      <c r="L405" s="21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</row>
    <row r="406">
      <c r="A406" s="12"/>
      <c r="B406" s="14" t="str">
        <f>IFERROR(__xludf.DUMMYFUNCTION("""COMPUTED_VALUE"""),"US-2014-144078")</f>
        <v>US-2014-144078</v>
      </c>
      <c r="C406" s="23">
        <f>IFERROR(__xludf.DUMMYFUNCTION("""COMPUTED_VALUE"""),41968.0)</f>
        <v>41968</v>
      </c>
      <c r="D406" s="14" t="str">
        <f>IFERROR(__xludf.DUMMYFUNCTION("""COMPUTED_VALUE"""),"Consumer")</f>
        <v>Consumer</v>
      </c>
      <c r="E406" s="14" t="str">
        <f>IFERROR(__xludf.DUMMYFUNCTION("""COMPUTED_VALUE"""),"California")</f>
        <v>California</v>
      </c>
      <c r="F406" s="14" t="str">
        <f>IFERROR(__xludf.DUMMYFUNCTION("""COMPUTED_VALUE"""),"West")</f>
        <v>West</v>
      </c>
      <c r="G406" s="14">
        <f>IFERROR(__xludf.DUMMYFUNCTION("""COMPUTED_VALUE"""),539.92)</f>
        <v>539.92</v>
      </c>
      <c r="H406" s="14">
        <f>IFERROR(__xludf.DUMMYFUNCTION("""COMPUTED_VALUE"""),5.0)</f>
        <v>5</v>
      </c>
      <c r="I406" s="14">
        <f>IFERROR(__xludf.DUMMYFUNCTION("""COMPUTED_VALUE"""),47.243)</f>
        <v>47.243</v>
      </c>
      <c r="J406" s="3"/>
      <c r="K406" s="21"/>
      <c r="L406" s="21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</row>
    <row r="407">
      <c r="A407" s="12"/>
      <c r="B407" s="14" t="str">
        <f>IFERROR(__xludf.DUMMYFUNCTION("""COMPUTED_VALUE"""),"US-2014-115196")</f>
        <v>US-2014-115196</v>
      </c>
      <c r="C407" s="22">
        <f>IFERROR(__xludf.DUMMYFUNCTION("""COMPUTED_VALUE"""),41891.0)</f>
        <v>41891</v>
      </c>
      <c r="D407" s="14" t="str">
        <f>IFERROR(__xludf.DUMMYFUNCTION("""COMPUTED_VALUE"""),"Consumer")</f>
        <v>Consumer</v>
      </c>
      <c r="E407" s="14" t="str">
        <f>IFERROR(__xludf.DUMMYFUNCTION("""COMPUTED_VALUE"""),"North Carolina")</f>
        <v>North Carolina</v>
      </c>
      <c r="F407" s="14" t="str">
        <f>IFERROR(__xludf.DUMMYFUNCTION("""COMPUTED_VALUE"""),"South")</f>
        <v>South</v>
      </c>
      <c r="G407" s="14">
        <f>IFERROR(__xludf.DUMMYFUNCTION("""COMPUTED_VALUE"""),1299.99)</f>
        <v>1299.99</v>
      </c>
      <c r="H407" s="14">
        <f>IFERROR(__xludf.DUMMYFUNCTION("""COMPUTED_VALUE"""),2.0)</f>
        <v>2</v>
      </c>
      <c r="I407" s="14">
        <f>IFERROR(__xludf.DUMMYFUNCTION("""COMPUTED_VALUE"""),-571.9956)</f>
        <v>-571.9956</v>
      </c>
      <c r="J407" s="3"/>
      <c r="K407" s="21"/>
      <c r="L407" s="21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</row>
    <row r="408">
      <c r="A408" s="12"/>
      <c r="B408" s="14" t="str">
        <f>IFERROR(__xludf.DUMMYFUNCTION("""COMPUTED_VALUE"""),"CA-2014-105417")</f>
        <v>CA-2014-105417</v>
      </c>
      <c r="C408" s="22">
        <f>IFERROR(__xludf.DUMMYFUNCTION("""COMPUTED_VALUE"""),41646.0)</f>
        <v>41646</v>
      </c>
      <c r="D408" s="14" t="str">
        <f>IFERROR(__xludf.DUMMYFUNCTION("""COMPUTED_VALUE"""),"Consumer")</f>
        <v>Consumer</v>
      </c>
      <c r="E408" s="14" t="str">
        <f>IFERROR(__xludf.DUMMYFUNCTION("""COMPUTED_VALUE"""),"Texas")</f>
        <v>Texas</v>
      </c>
      <c r="F408" s="14" t="str">
        <f>IFERROR(__xludf.DUMMYFUNCTION("""COMPUTED_VALUE"""),"Central")</f>
        <v>Central</v>
      </c>
      <c r="G408" s="14">
        <f>IFERROR(__xludf.DUMMYFUNCTION("""COMPUTED_VALUE"""),76.728)</f>
        <v>76.728</v>
      </c>
      <c r="H408" s="14">
        <f>IFERROR(__xludf.DUMMYFUNCTION("""COMPUTED_VALUE"""),3.0)</f>
        <v>3</v>
      </c>
      <c r="I408" s="14">
        <f>IFERROR(__xludf.DUMMYFUNCTION("""COMPUTED_VALUE"""),-53.7096)</f>
        <v>-53.7096</v>
      </c>
      <c r="J408" s="3"/>
      <c r="K408" s="21"/>
      <c r="L408" s="21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</row>
    <row r="409">
      <c r="A409" s="12"/>
      <c r="B409" s="14" t="str">
        <f>IFERROR(__xludf.DUMMYFUNCTION("""COMPUTED_VALUE"""),"CA-2014-142951")</f>
        <v>CA-2014-142951</v>
      </c>
      <c r="C409" s="22">
        <f>IFERROR(__xludf.DUMMYFUNCTION("""COMPUTED_VALUE"""),41920.0)</f>
        <v>41920</v>
      </c>
      <c r="D409" s="14" t="str">
        <f>IFERROR(__xludf.DUMMYFUNCTION("""COMPUTED_VALUE"""),"Consumer")</f>
        <v>Consumer</v>
      </c>
      <c r="E409" s="14" t="str">
        <f>IFERROR(__xludf.DUMMYFUNCTION("""COMPUTED_VALUE"""),"North Carolina")</f>
        <v>North Carolina</v>
      </c>
      <c r="F409" s="14" t="str">
        <f>IFERROR(__xludf.DUMMYFUNCTION("""COMPUTED_VALUE"""),"South")</f>
        <v>South</v>
      </c>
      <c r="G409" s="14">
        <f>IFERROR(__xludf.DUMMYFUNCTION("""COMPUTED_VALUE"""),23.472)</f>
        <v>23.472</v>
      </c>
      <c r="H409" s="14">
        <f>IFERROR(__xludf.DUMMYFUNCTION("""COMPUTED_VALUE"""),3.0)</f>
        <v>3</v>
      </c>
      <c r="I409" s="14">
        <f>IFERROR(__xludf.DUMMYFUNCTION("""COMPUTED_VALUE"""),4.9878)</f>
        <v>4.9878</v>
      </c>
      <c r="J409" s="3"/>
      <c r="K409" s="21"/>
      <c r="L409" s="21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</row>
    <row r="410">
      <c r="A410" s="12"/>
      <c r="B410" s="14" t="str">
        <f>IFERROR(__xludf.DUMMYFUNCTION("""COMPUTED_VALUE"""),"CA-2014-102330")</f>
        <v>CA-2014-102330</v>
      </c>
      <c r="C410" s="23">
        <f>IFERROR(__xludf.DUMMYFUNCTION("""COMPUTED_VALUE"""),42002.0)</f>
        <v>42002</v>
      </c>
      <c r="D410" s="14" t="str">
        <f>IFERROR(__xludf.DUMMYFUNCTION("""COMPUTED_VALUE"""),"Consumer")</f>
        <v>Consumer</v>
      </c>
      <c r="E410" s="14" t="str">
        <f>IFERROR(__xludf.DUMMYFUNCTION("""COMPUTED_VALUE"""),"California")</f>
        <v>California</v>
      </c>
      <c r="F410" s="14" t="str">
        <f>IFERROR(__xludf.DUMMYFUNCTION("""COMPUTED_VALUE"""),"West")</f>
        <v>West</v>
      </c>
      <c r="G410" s="14">
        <f>IFERROR(__xludf.DUMMYFUNCTION("""COMPUTED_VALUE"""),88.8)</f>
        <v>88.8</v>
      </c>
      <c r="H410" s="14">
        <f>IFERROR(__xludf.DUMMYFUNCTION("""COMPUTED_VALUE"""),6.0)</f>
        <v>6</v>
      </c>
      <c r="I410" s="14">
        <f>IFERROR(__xludf.DUMMYFUNCTION("""COMPUTED_VALUE"""),44.4)</f>
        <v>44.4</v>
      </c>
      <c r="J410" s="3"/>
      <c r="K410" s="21"/>
      <c r="L410" s="21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</row>
    <row r="411">
      <c r="A411" s="12"/>
      <c r="B411" s="14" t="str">
        <f>IFERROR(__xludf.DUMMYFUNCTION("""COMPUTED_VALUE"""),"CA-2014-139542")</f>
        <v>CA-2014-139542</v>
      </c>
      <c r="C411" s="23">
        <f>IFERROR(__xludf.DUMMYFUNCTION("""COMPUTED_VALUE"""),41937.0)</f>
        <v>41937</v>
      </c>
      <c r="D411" s="14" t="str">
        <f>IFERROR(__xludf.DUMMYFUNCTION("""COMPUTED_VALUE"""),"Consumer")</f>
        <v>Consumer</v>
      </c>
      <c r="E411" s="14" t="str">
        <f>IFERROR(__xludf.DUMMYFUNCTION("""COMPUTED_VALUE"""),"Pennsylvania")</f>
        <v>Pennsylvania</v>
      </c>
      <c r="F411" s="14" t="str">
        <f>IFERROR(__xludf.DUMMYFUNCTION("""COMPUTED_VALUE"""),"East")</f>
        <v>East</v>
      </c>
      <c r="G411" s="14">
        <f>IFERROR(__xludf.DUMMYFUNCTION("""COMPUTED_VALUE"""),40.776)</f>
        <v>40.776</v>
      </c>
      <c r="H411" s="14">
        <f>IFERROR(__xludf.DUMMYFUNCTION("""COMPUTED_VALUE"""),3.0)</f>
        <v>3</v>
      </c>
      <c r="I411" s="14">
        <f>IFERROR(__xludf.DUMMYFUNCTION("""COMPUTED_VALUE"""),0.5097)</f>
        <v>0.5097</v>
      </c>
      <c r="J411" s="3"/>
      <c r="K411" s="21"/>
      <c r="L411" s="21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</row>
    <row r="412">
      <c r="A412" s="12"/>
      <c r="B412" s="14" t="str">
        <f>IFERROR(__xludf.DUMMYFUNCTION("""COMPUTED_VALUE"""),"CA-2014-150203")</f>
        <v>CA-2014-150203</v>
      </c>
      <c r="C412" s="22">
        <f>IFERROR(__xludf.DUMMYFUNCTION("""COMPUTED_VALUE"""),41978.0)</f>
        <v>41978</v>
      </c>
      <c r="D412" s="14" t="str">
        <f>IFERROR(__xludf.DUMMYFUNCTION("""COMPUTED_VALUE"""),"Consumer")</f>
        <v>Consumer</v>
      </c>
      <c r="E412" s="14" t="str">
        <f>IFERROR(__xludf.DUMMYFUNCTION("""COMPUTED_VALUE"""),"California")</f>
        <v>California</v>
      </c>
      <c r="F412" s="14" t="str">
        <f>IFERROR(__xludf.DUMMYFUNCTION("""COMPUTED_VALUE"""),"West")</f>
        <v>West</v>
      </c>
      <c r="G412" s="14">
        <f>IFERROR(__xludf.DUMMYFUNCTION("""COMPUTED_VALUE"""),250.26)</f>
        <v>250.26</v>
      </c>
      <c r="H412" s="14">
        <f>IFERROR(__xludf.DUMMYFUNCTION("""COMPUTED_VALUE"""),6.0)</f>
        <v>6</v>
      </c>
      <c r="I412" s="14">
        <f>IFERROR(__xludf.DUMMYFUNCTION("""COMPUTED_VALUE"""),72.5754)</f>
        <v>72.5754</v>
      </c>
      <c r="J412" s="3"/>
      <c r="K412" s="21"/>
      <c r="L412" s="21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</row>
    <row r="413">
      <c r="A413" s="12"/>
      <c r="B413" s="14" t="str">
        <f>IFERROR(__xludf.DUMMYFUNCTION("""COMPUTED_VALUE"""),"CA-2014-105872")</f>
        <v>CA-2014-105872</v>
      </c>
      <c r="C413" s="22">
        <f>IFERROR(__xludf.DUMMYFUNCTION("""COMPUTED_VALUE"""),41789.0)</f>
        <v>41789</v>
      </c>
      <c r="D413" s="14" t="str">
        <f>IFERROR(__xludf.DUMMYFUNCTION("""COMPUTED_VALUE"""),"Consumer")</f>
        <v>Consumer</v>
      </c>
      <c r="E413" s="14" t="str">
        <f>IFERROR(__xludf.DUMMYFUNCTION("""COMPUTED_VALUE"""),"New York")</f>
        <v>New York</v>
      </c>
      <c r="F413" s="14" t="str">
        <f>IFERROR(__xludf.DUMMYFUNCTION("""COMPUTED_VALUE"""),"East")</f>
        <v>East</v>
      </c>
      <c r="G413" s="14">
        <f>IFERROR(__xludf.DUMMYFUNCTION("""COMPUTED_VALUE"""),70.368)</f>
        <v>70.368</v>
      </c>
      <c r="H413" s="14">
        <f>IFERROR(__xludf.DUMMYFUNCTION("""COMPUTED_VALUE"""),4.0)</f>
        <v>4</v>
      </c>
      <c r="I413" s="14">
        <f>IFERROR(__xludf.DUMMYFUNCTION("""COMPUTED_VALUE"""),26.388)</f>
        <v>26.388</v>
      </c>
      <c r="J413" s="3"/>
      <c r="K413" s="21"/>
      <c r="L413" s="21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</row>
    <row r="414">
      <c r="A414" s="12"/>
      <c r="B414" s="14" t="str">
        <f>IFERROR(__xludf.DUMMYFUNCTION("""COMPUTED_VALUE"""),"CA-2014-155390")</f>
        <v>CA-2014-155390</v>
      </c>
      <c r="C414" s="22">
        <f>IFERROR(__xludf.DUMMYFUNCTION("""COMPUTED_VALUE"""),41979.0)</f>
        <v>41979</v>
      </c>
      <c r="D414" s="14" t="str">
        <f>IFERROR(__xludf.DUMMYFUNCTION("""COMPUTED_VALUE"""),"Consumer")</f>
        <v>Consumer</v>
      </c>
      <c r="E414" s="14" t="str">
        <f>IFERROR(__xludf.DUMMYFUNCTION("""COMPUTED_VALUE"""),"Tennessee")</f>
        <v>Tennessee</v>
      </c>
      <c r="F414" s="14" t="str">
        <f>IFERROR(__xludf.DUMMYFUNCTION("""COMPUTED_VALUE"""),"South")</f>
        <v>South</v>
      </c>
      <c r="G414" s="14">
        <f>IFERROR(__xludf.DUMMYFUNCTION("""COMPUTED_VALUE"""),42.208)</f>
        <v>42.208</v>
      </c>
      <c r="H414" s="14">
        <f>IFERROR(__xludf.DUMMYFUNCTION("""COMPUTED_VALUE"""),2.0)</f>
        <v>2</v>
      </c>
      <c r="I414" s="14">
        <f>IFERROR(__xludf.DUMMYFUNCTION("""COMPUTED_VALUE"""),13.7176)</f>
        <v>13.7176</v>
      </c>
      <c r="J414" s="3"/>
      <c r="K414" s="21"/>
      <c r="L414" s="21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</row>
    <row r="415">
      <c r="A415" s="12"/>
      <c r="B415" s="14" t="str">
        <f>IFERROR(__xludf.DUMMYFUNCTION("""COMPUTED_VALUE"""),"US-2014-111353")</f>
        <v>US-2014-111353</v>
      </c>
      <c r="C415" s="23">
        <f>IFERROR(__xludf.DUMMYFUNCTION("""COMPUTED_VALUE"""),41972.0)</f>
        <v>41972</v>
      </c>
      <c r="D415" s="14" t="str">
        <f>IFERROR(__xludf.DUMMYFUNCTION("""COMPUTED_VALUE"""),"Consumer")</f>
        <v>Consumer</v>
      </c>
      <c r="E415" s="14" t="str">
        <f>IFERROR(__xludf.DUMMYFUNCTION("""COMPUTED_VALUE"""),"New York")</f>
        <v>New York</v>
      </c>
      <c r="F415" s="14" t="str">
        <f>IFERROR(__xludf.DUMMYFUNCTION("""COMPUTED_VALUE"""),"East")</f>
        <v>East</v>
      </c>
      <c r="G415" s="14">
        <f>IFERROR(__xludf.DUMMYFUNCTION("""COMPUTED_VALUE"""),25.06)</f>
        <v>25.06</v>
      </c>
      <c r="H415" s="14">
        <f>IFERROR(__xludf.DUMMYFUNCTION("""COMPUTED_VALUE"""),2.0)</f>
        <v>2</v>
      </c>
      <c r="I415" s="14">
        <f>IFERROR(__xludf.DUMMYFUNCTION("""COMPUTED_VALUE"""),11.7782)</f>
        <v>11.7782</v>
      </c>
      <c r="J415" s="3"/>
      <c r="K415" s="21"/>
      <c r="L415" s="21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</row>
    <row r="416">
      <c r="A416" s="12"/>
      <c r="B416" s="14" t="str">
        <f>IFERROR(__xludf.DUMMYFUNCTION("""COMPUTED_VALUE"""),"CA-2014-143637")</f>
        <v>CA-2014-143637</v>
      </c>
      <c r="C416" s="22">
        <f>IFERROR(__xludf.DUMMYFUNCTION("""COMPUTED_VALUE"""),41722.0)</f>
        <v>41722</v>
      </c>
      <c r="D416" s="14" t="str">
        <f>IFERROR(__xludf.DUMMYFUNCTION("""COMPUTED_VALUE"""),"Consumer")</f>
        <v>Consumer</v>
      </c>
      <c r="E416" s="14" t="str">
        <f>IFERROR(__xludf.DUMMYFUNCTION("""COMPUTED_VALUE"""),"California")</f>
        <v>California</v>
      </c>
      <c r="F416" s="14" t="str">
        <f>IFERROR(__xludf.DUMMYFUNCTION("""COMPUTED_VALUE"""),"West")</f>
        <v>West</v>
      </c>
      <c r="G416" s="14">
        <f>IFERROR(__xludf.DUMMYFUNCTION("""COMPUTED_VALUE"""),40.48)</f>
        <v>40.48</v>
      </c>
      <c r="H416" s="14">
        <f>IFERROR(__xludf.DUMMYFUNCTION("""COMPUTED_VALUE"""),2.0)</f>
        <v>2</v>
      </c>
      <c r="I416" s="14">
        <f>IFERROR(__xludf.DUMMYFUNCTION("""COMPUTED_VALUE"""),14.5728)</f>
        <v>14.5728</v>
      </c>
      <c r="J416" s="3"/>
      <c r="K416" s="21"/>
      <c r="L416" s="21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</row>
    <row r="417">
      <c r="A417" s="12"/>
      <c r="B417" s="14" t="str">
        <f>IFERROR(__xludf.DUMMYFUNCTION("""COMPUTED_VALUE"""),"US-2014-137869")</f>
        <v>US-2014-137869</v>
      </c>
      <c r="C417" s="22">
        <f>IFERROR(__xludf.DUMMYFUNCTION("""COMPUTED_VALUE"""),41726.0)</f>
        <v>41726</v>
      </c>
      <c r="D417" s="14" t="str">
        <f>IFERROR(__xludf.DUMMYFUNCTION("""COMPUTED_VALUE"""),"Consumer")</f>
        <v>Consumer</v>
      </c>
      <c r="E417" s="14" t="str">
        <f>IFERROR(__xludf.DUMMYFUNCTION("""COMPUTED_VALUE"""),"Iowa")</f>
        <v>Iowa</v>
      </c>
      <c r="F417" s="14" t="str">
        <f>IFERROR(__xludf.DUMMYFUNCTION("""COMPUTED_VALUE"""),"Central")</f>
        <v>Central</v>
      </c>
      <c r="G417" s="14">
        <f>IFERROR(__xludf.DUMMYFUNCTION("""COMPUTED_VALUE"""),6.12)</f>
        <v>6.12</v>
      </c>
      <c r="H417" s="14">
        <f>IFERROR(__xludf.DUMMYFUNCTION("""COMPUTED_VALUE"""),3.0)</f>
        <v>3</v>
      </c>
      <c r="I417" s="14">
        <f>IFERROR(__xludf.DUMMYFUNCTION("""COMPUTED_VALUE"""),2.8764)</f>
        <v>2.8764</v>
      </c>
      <c r="J417" s="3"/>
      <c r="K417" s="21"/>
      <c r="L417" s="21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</row>
    <row r="418">
      <c r="A418" s="12"/>
      <c r="B418" s="14" t="str">
        <f>IFERROR(__xludf.DUMMYFUNCTION("""COMPUTED_VALUE"""),"CA-2014-158470")</f>
        <v>CA-2014-158470</v>
      </c>
      <c r="C418" s="22">
        <f>IFERROR(__xludf.DUMMYFUNCTION("""COMPUTED_VALUE"""),41748.0)</f>
        <v>41748</v>
      </c>
      <c r="D418" s="14" t="str">
        <f>IFERROR(__xludf.DUMMYFUNCTION("""COMPUTED_VALUE"""),"Consumer")</f>
        <v>Consumer</v>
      </c>
      <c r="E418" s="14" t="str">
        <f>IFERROR(__xludf.DUMMYFUNCTION("""COMPUTED_VALUE"""),"Virginia")</f>
        <v>Virginia</v>
      </c>
      <c r="F418" s="14" t="str">
        <f>IFERROR(__xludf.DUMMYFUNCTION("""COMPUTED_VALUE"""),"South")</f>
        <v>South</v>
      </c>
      <c r="G418" s="14">
        <f>IFERROR(__xludf.DUMMYFUNCTION("""COMPUTED_VALUE"""),58.05)</f>
        <v>58.05</v>
      </c>
      <c r="H418" s="14">
        <f>IFERROR(__xludf.DUMMYFUNCTION("""COMPUTED_VALUE"""),3.0)</f>
        <v>3</v>
      </c>
      <c r="I418" s="14">
        <f>IFERROR(__xludf.DUMMYFUNCTION("""COMPUTED_VALUE"""),26.703)</f>
        <v>26.703</v>
      </c>
      <c r="J418" s="3"/>
      <c r="K418" s="21"/>
      <c r="L418" s="21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</row>
    <row r="419">
      <c r="A419" s="12"/>
      <c r="B419" s="14" t="str">
        <f>IFERROR(__xludf.DUMMYFUNCTION("""COMPUTED_VALUE"""),"CA-2014-131009")</f>
        <v>CA-2014-131009</v>
      </c>
      <c r="C419" s="22">
        <f>IFERROR(__xludf.DUMMYFUNCTION("""COMPUTED_VALUE"""),41699.0)</f>
        <v>41699</v>
      </c>
      <c r="D419" s="14" t="str">
        <f>IFERROR(__xludf.DUMMYFUNCTION("""COMPUTED_VALUE"""),"Consumer")</f>
        <v>Consumer</v>
      </c>
      <c r="E419" s="14" t="str">
        <f>IFERROR(__xludf.DUMMYFUNCTION("""COMPUTED_VALUE"""),"Texas")</f>
        <v>Texas</v>
      </c>
      <c r="F419" s="14" t="str">
        <f>IFERROR(__xludf.DUMMYFUNCTION("""COMPUTED_VALUE"""),"Central")</f>
        <v>Central</v>
      </c>
      <c r="G419" s="14">
        <f>IFERROR(__xludf.DUMMYFUNCTION("""COMPUTED_VALUE"""),18.84)</f>
        <v>18.84</v>
      </c>
      <c r="H419" s="14">
        <f>IFERROR(__xludf.DUMMYFUNCTION("""COMPUTED_VALUE"""),5.0)</f>
        <v>5</v>
      </c>
      <c r="I419" s="14">
        <f>IFERROR(__xludf.DUMMYFUNCTION("""COMPUTED_VALUE"""),-3.5325)</f>
        <v>-3.5325</v>
      </c>
      <c r="J419" s="3"/>
      <c r="K419" s="21"/>
      <c r="L419" s="21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</row>
    <row r="420">
      <c r="A420" s="12"/>
      <c r="B420" s="14" t="str">
        <f>IFERROR(__xludf.DUMMYFUNCTION("""COMPUTED_VALUE"""),"CA-2014-166051")</f>
        <v>CA-2014-166051</v>
      </c>
      <c r="C420" s="22">
        <f>IFERROR(__xludf.DUMMYFUNCTION("""COMPUTED_VALUE"""),41790.0)</f>
        <v>41790</v>
      </c>
      <c r="D420" s="14" t="str">
        <f>IFERROR(__xludf.DUMMYFUNCTION("""COMPUTED_VALUE"""),"Consumer")</f>
        <v>Consumer</v>
      </c>
      <c r="E420" s="14" t="str">
        <f>IFERROR(__xludf.DUMMYFUNCTION("""COMPUTED_VALUE"""),"Mississippi")</f>
        <v>Mississippi</v>
      </c>
      <c r="F420" s="14" t="str">
        <f>IFERROR(__xludf.DUMMYFUNCTION("""COMPUTED_VALUE"""),"South")</f>
        <v>South</v>
      </c>
      <c r="G420" s="14">
        <f>IFERROR(__xludf.DUMMYFUNCTION("""COMPUTED_VALUE"""),659.97)</f>
        <v>659.97</v>
      </c>
      <c r="H420" s="14">
        <f>IFERROR(__xludf.DUMMYFUNCTION("""COMPUTED_VALUE"""),3.0)</f>
        <v>3</v>
      </c>
      <c r="I420" s="14">
        <f>IFERROR(__xludf.DUMMYFUNCTION("""COMPUTED_VALUE"""),197.991)</f>
        <v>197.991</v>
      </c>
      <c r="J420" s="3"/>
      <c r="K420" s="21"/>
      <c r="L420" s="21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</row>
    <row r="421">
      <c r="A421" s="12"/>
      <c r="B421" s="14" t="str">
        <f>IFERROR(__xludf.DUMMYFUNCTION("""COMPUTED_VALUE"""),"CA-2014-103800")</f>
        <v>CA-2014-103800</v>
      </c>
      <c r="C421" s="22">
        <f>IFERROR(__xludf.DUMMYFUNCTION("""COMPUTED_VALUE"""),41642.0)</f>
        <v>41642</v>
      </c>
      <c r="D421" s="14" t="str">
        <f>IFERROR(__xludf.DUMMYFUNCTION("""COMPUTED_VALUE"""),"Consumer")</f>
        <v>Consumer</v>
      </c>
      <c r="E421" s="14" t="str">
        <f>IFERROR(__xludf.DUMMYFUNCTION("""COMPUTED_VALUE"""),"Texas")</f>
        <v>Texas</v>
      </c>
      <c r="F421" s="14" t="str">
        <f>IFERROR(__xludf.DUMMYFUNCTION("""COMPUTED_VALUE"""),"Central")</f>
        <v>Central</v>
      </c>
      <c r="G421" s="14">
        <f>IFERROR(__xludf.DUMMYFUNCTION("""COMPUTED_VALUE"""),16.448)</f>
        <v>16.448</v>
      </c>
      <c r="H421" s="14">
        <f>IFERROR(__xludf.DUMMYFUNCTION("""COMPUTED_VALUE"""),2.0)</f>
        <v>2</v>
      </c>
      <c r="I421" s="14">
        <f>IFERROR(__xludf.DUMMYFUNCTION("""COMPUTED_VALUE"""),5.5512)</f>
        <v>5.5512</v>
      </c>
      <c r="J421" s="3"/>
      <c r="K421" s="21"/>
      <c r="L421" s="21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</row>
    <row r="422">
      <c r="A422" s="12"/>
      <c r="B422" s="14" t="str">
        <f>IFERROR(__xludf.DUMMYFUNCTION("""COMPUTED_VALUE"""),"CA-2014-113383")</f>
        <v>CA-2014-113383</v>
      </c>
      <c r="C422" s="22">
        <f>IFERROR(__xludf.DUMMYFUNCTION("""COMPUTED_VALUE"""),41892.0)</f>
        <v>41892</v>
      </c>
      <c r="D422" s="14" t="str">
        <f>IFERROR(__xludf.DUMMYFUNCTION("""COMPUTED_VALUE"""),"Consumer")</f>
        <v>Consumer</v>
      </c>
      <c r="E422" s="14" t="str">
        <f>IFERROR(__xludf.DUMMYFUNCTION("""COMPUTED_VALUE"""),"New Jersey")</f>
        <v>New Jersey</v>
      </c>
      <c r="F422" s="14" t="str">
        <f>IFERROR(__xludf.DUMMYFUNCTION("""COMPUTED_VALUE"""),"East")</f>
        <v>East</v>
      </c>
      <c r="G422" s="14">
        <f>IFERROR(__xludf.DUMMYFUNCTION("""COMPUTED_VALUE"""),81.92)</f>
        <v>81.92</v>
      </c>
      <c r="H422" s="14">
        <f>IFERROR(__xludf.DUMMYFUNCTION("""COMPUTED_VALUE"""),4.0)</f>
        <v>4</v>
      </c>
      <c r="I422" s="14">
        <f>IFERROR(__xludf.DUMMYFUNCTION("""COMPUTED_VALUE"""),22.1184)</f>
        <v>22.1184</v>
      </c>
      <c r="J422" s="3"/>
      <c r="K422" s="21"/>
      <c r="L422" s="21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</row>
    <row r="423">
      <c r="A423" s="12"/>
      <c r="B423" s="14" t="str">
        <f>IFERROR(__xludf.DUMMYFUNCTION("""COMPUTED_VALUE"""),"CA-2014-143210")</f>
        <v>CA-2014-143210</v>
      </c>
      <c r="C423" s="22">
        <f>IFERROR(__xludf.DUMMYFUNCTION("""COMPUTED_VALUE"""),41974.0)</f>
        <v>41974</v>
      </c>
      <c r="D423" s="14" t="str">
        <f>IFERROR(__xludf.DUMMYFUNCTION("""COMPUTED_VALUE"""),"Consumer")</f>
        <v>Consumer</v>
      </c>
      <c r="E423" s="14" t="str">
        <f>IFERROR(__xludf.DUMMYFUNCTION("""COMPUTED_VALUE"""),"Massachusetts")</f>
        <v>Massachusetts</v>
      </c>
      <c r="F423" s="14" t="str">
        <f>IFERROR(__xludf.DUMMYFUNCTION("""COMPUTED_VALUE"""),"East")</f>
        <v>East</v>
      </c>
      <c r="G423" s="14">
        <f>IFERROR(__xludf.DUMMYFUNCTION("""COMPUTED_VALUE"""),271.9)</f>
        <v>271.9</v>
      </c>
      <c r="H423" s="14">
        <f>IFERROR(__xludf.DUMMYFUNCTION("""COMPUTED_VALUE"""),2.0)</f>
        <v>2</v>
      </c>
      <c r="I423" s="14">
        <f>IFERROR(__xludf.DUMMYFUNCTION("""COMPUTED_VALUE"""),78.851)</f>
        <v>78.851</v>
      </c>
      <c r="J423" s="3"/>
      <c r="K423" s="21"/>
      <c r="L423" s="21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</row>
    <row r="424">
      <c r="A424" s="12"/>
      <c r="B424" s="14" t="str">
        <f>IFERROR(__xludf.DUMMYFUNCTION("""COMPUTED_VALUE"""),"CA-2014-138128")</f>
        <v>CA-2014-138128</v>
      </c>
      <c r="C424" s="22">
        <f>IFERROR(__xludf.DUMMYFUNCTION("""COMPUTED_VALUE"""),41982.0)</f>
        <v>41982</v>
      </c>
      <c r="D424" s="14" t="str">
        <f>IFERROR(__xludf.DUMMYFUNCTION("""COMPUTED_VALUE"""),"Consumer")</f>
        <v>Consumer</v>
      </c>
      <c r="E424" s="14" t="str">
        <f>IFERROR(__xludf.DUMMYFUNCTION("""COMPUTED_VALUE"""),"Pennsylvania")</f>
        <v>Pennsylvania</v>
      </c>
      <c r="F424" s="14" t="str">
        <f>IFERROR(__xludf.DUMMYFUNCTION("""COMPUTED_VALUE"""),"East")</f>
        <v>East</v>
      </c>
      <c r="G424" s="14">
        <f>IFERROR(__xludf.DUMMYFUNCTION("""COMPUTED_VALUE"""),30.672)</f>
        <v>30.672</v>
      </c>
      <c r="H424" s="14">
        <f>IFERROR(__xludf.DUMMYFUNCTION("""COMPUTED_VALUE"""),3.0)</f>
        <v>3</v>
      </c>
      <c r="I424" s="14">
        <f>IFERROR(__xludf.DUMMYFUNCTION("""COMPUTED_VALUE"""),9.585)</f>
        <v>9.585</v>
      </c>
      <c r="J424" s="3"/>
      <c r="K424" s="21"/>
      <c r="L424" s="21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</row>
    <row r="425">
      <c r="A425" s="12"/>
      <c r="B425" s="14" t="str">
        <f>IFERROR(__xludf.DUMMYFUNCTION("""COMPUTED_VALUE"""),"US-2014-112949")</f>
        <v>US-2014-112949</v>
      </c>
      <c r="C425" s="22">
        <f>IFERROR(__xludf.DUMMYFUNCTION("""COMPUTED_VALUE"""),41810.0)</f>
        <v>41810</v>
      </c>
      <c r="D425" s="14" t="str">
        <f>IFERROR(__xludf.DUMMYFUNCTION("""COMPUTED_VALUE"""),"Consumer")</f>
        <v>Consumer</v>
      </c>
      <c r="E425" s="14" t="str">
        <f>IFERROR(__xludf.DUMMYFUNCTION("""COMPUTED_VALUE"""),"Oklahoma")</f>
        <v>Oklahoma</v>
      </c>
      <c r="F425" s="14" t="str">
        <f>IFERROR(__xludf.DUMMYFUNCTION("""COMPUTED_VALUE"""),"Central")</f>
        <v>Central</v>
      </c>
      <c r="G425" s="14">
        <f>IFERROR(__xludf.DUMMYFUNCTION("""COMPUTED_VALUE"""),471.9)</f>
        <v>471.9</v>
      </c>
      <c r="H425" s="14">
        <f>IFERROR(__xludf.DUMMYFUNCTION("""COMPUTED_VALUE"""),6.0)</f>
        <v>6</v>
      </c>
      <c r="I425" s="14">
        <f>IFERROR(__xludf.DUMMYFUNCTION("""COMPUTED_VALUE"""),155.727)</f>
        <v>155.727</v>
      </c>
      <c r="J425" s="3"/>
      <c r="K425" s="21"/>
      <c r="L425" s="21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</row>
    <row r="426">
      <c r="A426" s="12"/>
      <c r="B426" s="14" t="str">
        <f>IFERROR(__xludf.DUMMYFUNCTION("""COMPUTED_VALUE"""),"CA-2014-120775")</f>
        <v>CA-2014-120775</v>
      </c>
      <c r="C426" s="22">
        <f>IFERROR(__xludf.DUMMYFUNCTION("""COMPUTED_VALUE"""),41915.0)</f>
        <v>41915</v>
      </c>
      <c r="D426" s="14" t="str">
        <f>IFERROR(__xludf.DUMMYFUNCTION("""COMPUTED_VALUE"""),"Consumer")</f>
        <v>Consumer</v>
      </c>
      <c r="E426" s="14" t="str">
        <f>IFERROR(__xludf.DUMMYFUNCTION("""COMPUTED_VALUE"""),"Texas")</f>
        <v>Texas</v>
      </c>
      <c r="F426" s="14" t="str">
        <f>IFERROR(__xludf.DUMMYFUNCTION("""COMPUTED_VALUE"""),"Central")</f>
        <v>Central</v>
      </c>
      <c r="G426" s="14">
        <f>IFERROR(__xludf.DUMMYFUNCTION("""COMPUTED_VALUE"""),4.344)</f>
        <v>4.344</v>
      </c>
      <c r="H426" s="14">
        <f>IFERROR(__xludf.DUMMYFUNCTION("""COMPUTED_VALUE"""),3.0)</f>
        <v>3</v>
      </c>
      <c r="I426" s="14">
        <f>IFERROR(__xludf.DUMMYFUNCTION("""COMPUTED_VALUE"""),0.8688)</f>
        <v>0.8688</v>
      </c>
      <c r="J426" s="3"/>
      <c r="K426" s="21"/>
      <c r="L426" s="21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</row>
    <row r="427">
      <c r="A427" s="12"/>
      <c r="B427" s="14" t="str">
        <f>IFERROR(__xludf.DUMMYFUNCTION("""COMPUTED_VALUE"""),"CA-2014-152905")</f>
        <v>CA-2014-152905</v>
      </c>
      <c r="C427" s="22">
        <f>IFERROR(__xludf.DUMMYFUNCTION("""COMPUTED_VALUE"""),41688.0)</f>
        <v>41688</v>
      </c>
      <c r="D427" s="14" t="str">
        <f>IFERROR(__xludf.DUMMYFUNCTION("""COMPUTED_VALUE"""),"Consumer")</f>
        <v>Consumer</v>
      </c>
      <c r="E427" s="14" t="str">
        <f>IFERROR(__xludf.DUMMYFUNCTION("""COMPUTED_VALUE"""),"Texas")</f>
        <v>Texas</v>
      </c>
      <c r="F427" s="14" t="str">
        <f>IFERROR(__xludf.DUMMYFUNCTION("""COMPUTED_VALUE"""),"Central")</f>
        <v>Central</v>
      </c>
      <c r="G427" s="14">
        <f>IFERROR(__xludf.DUMMYFUNCTION("""COMPUTED_VALUE"""),12.624)</f>
        <v>12.624</v>
      </c>
      <c r="H427" s="14">
        <f>IFERROR(__xludf.DUMMYFUNCTION("""COMPUTED_VALUE"""),2.0)</f>
        <v>2</v>
      </c>
      <c r="I427" s="14">
        <f>IFERROR(__xludf.DUMMYFUNCTION("""COMPUTED_VALUE"""),-2.5248)</f>
        <v>-2.5248</v>
      </c>
      <c r="J427" s="3"/>
      <c r="K427" s="21"/>
      <c r="L427" s="21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</row>
    <row r="428">
      <c r="A428" s="12"/>
      <c r="B428" s="14" t="str">
        <f>IFERROR(__xludf.DUMMYFUNCTION("""COMPUTED_VALUE"""),"CA-2014-158225")</f>
        <v>CA-2014-158225</v>
      </c>
      <c r="C428" s="22">
        <f>IFERROR(__xludf.DUMMYFUNCTION("""COMPUTED_VALUE"""),41904.0)</f>
        <v>41904</v>
      </c>
      <c r="D428" s="14" t="str">
        <f>IFERROR(__xludf.DUMMYFUNCTION("""COMPUTED_VALUE"""),"Consumer")</f>
        <v>Consumer</v>
      </c>
      <c r="E428" s="14" t="str">
        <f>IFERROR(__xludf.DUMMYFUNCTION("""COMPUTED_VALUE"""),"California")</f>
        <v>California</v>
      </c>
      <c r="F428" s="14" t="str">
        <f>IFERROR(__xludf.DUMMYFUNCTION("""COMPUTED_VALUE"""),"West")</f>
        <v>West</v>
      </c>
      <c r="G428" s="14">
        <f>IFERROR(__xludf.DUMMYFUNCTION("""COMPUTED_VALUE"""),169.45)</f>
        <v>169.45</v>
      </c>
      <c r="H428" s="14">
        <f>IFERROR(__xludf.DUMMYFUNCTION("""COMPUTED_VALUE"""),5.0)</f>
        <v>5</v>
      </c>
      <c r="I428" s="14">
        <f>IFERROR(__xludf.DUMMYFUNCTION("""COMPUTED_VALUE"""),42.3625)</f>
        <v>42.3625</v>
      </c>
      <c r="J428" s="3"/>
      <c r="K428" s="21"/>
      <c r="L428" s="21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</row>
    <row r="429">
      <c r="A429" s="12"/>
      <c r="B429" s="14" t="str">
        <f>IFERROR(__xludf.DUMMYFUNCTION("""COMPUTED_VALUE"""),"CA-2014-109855")</f>
        <v>CA-2014-109855</v>
      </c>
      <c r="C429" s="22">
        <f>IFERROR(__xludf.DUMMYFUNCTION("""COMPUTED_VALUE"""),41883.0)</f>
        <v>41883</v>
      </c>
      <c r="D429" s="14" t="str">
        <f>IFERROR(__xludf.DUMMYFUNCTION("""COMPUTED_VALUE"""),"Consumer")</f>
        <v>Consumer</v>
      </c>
      <c r="E429" s="14" t="str">
        <f>IFERROR(__xludf.DUMMYFUNCTION("""COMPUTED_VALUE"""),"New York")</f>
        <v>New York</v>
      </c>
      <c r="F429" s="14" t="str">
        <f>IFERROR(__xludf.DUMMYFUNCTION("""COMPUTED_VALUE"""),"East")</f>
        <v>East</v>
      </c>
      <c r="G429" s="14">
        <f>IFERROR(__xludf.DUMMYFUNCTION("""COMPUTED_VALUE"""),23.744)</f>
        <v>23.744</v>
      </c>
      <c r="H429" s="14">
        <f>IFERROR(__xludf.DUMMYFUNCTION("""COMPUTED_VALUE"""),2.0)</f>
        <v>2</v>
      </c>
      <c r="I429" s="14">
        <f>IFERROR(__xludf.DUMMYFUNCTION("""COMPUTED_VALUE"""),8.3104)</f>
        <v>8.3104</v>
      </c>
      <c r="J429" s="3"/>
      <c r="K429" s="21"/>
      <c r="L429" s="21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</row>
    <row r="430">
      <c r="A430" s="12"/>
      <c r="B430" s="14" t="str">
        <f>IFERROR(__xludf.DUMMYFUNCTION("""COMPUTED_VALUE"""),"CA-2014-109897")</f>
        <v>CA-2014-109897</v>
      </c>
      <c r="C430" s="22">
        <f>IFERROR(__xludf.DUMMYFUNCTION("""COMPUTED_VALUE"""),41863.0)</f>
        <v>41863</v>
      </c>
      <c r="D430" s="14" t="str">
        <f>IFERROR(__xludf.DUMMYFUNCTION("""COMPUTED_VALUE"""),"Consumer")</f>
        <v>Consumer</v>
      </c>
      <c r="E430" s="14" t="str">
        <f>IFERROR(__xludf.DUMMYFUNCTION("""COMPUTED_VALUE"""),"California")</f>
        <v>California</v>
      </c>
      <c r="F430" s="14" t="str">
        <f>IFERROR(__xludf.DUMMYFUNCTION("""COMPUTED_VALUE"""),"West")</f>
        <v>West</v>
      </c>
      <c r="G430" s="14">
        <f>IFERROR(__xludf.DUMMYFUNCTION("""COMPUTED_VALUE"""),806.336)</f>
        <v>806.336</v>
      </c>
      <c r="H430" s="14">
        <f>IFERROR(__xludf.DUMMYFUNCTION("""COMPUTED_VALUE"""),8.0)</f>
        <v>8</v>
      </c>
      <c r="I430" s="14">
        <f>IFERROR(__xludf.DUMMYFUNCTION("""COMPUTED_VALUE"""),50.396)</f>
        <v>50.396</v>
      </c>
      <c r="J430" s="3"/>
      <c r="K430" s="21"/>
      <c r="L430" s="21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</row>
    <row r="431">
      <c r="A431" s="12"/>
      <c r="B431" s="14" t="str">
        <f>IFERROR(__xludf.DUMMYFUNCTION("""COMPUTED_VALUE"""),"CA-2014-131800")</f>
        <v>CA-2014-131800</v>
      </c>
      <c r="C431" s="23">
        <f>IFERROR(__xludf.DUMMYFUNCTION("""COMPUTED_VALUE"""),42003.0)</f>
        <v>42003</v>
      </c>
      <c r="D431" s="14" t="str">
        <f>IFERROR(__xludf.DUMMYFUNCTION("""COMPUTED_VALUE"""),"Consumer")</f>
        <v>Consumer</v>
      </c>
      <c r="E431" s="14" t="str">
        <f>IFERROR(__xludf.DUMMYFUNCTION("""COMPUTED_VALUE"""),"New York")</f>
        <v>New York</v>
      </c>
      <c r="F431" s="14" t="str">
        <f>IFERROR(__xludf.DUMMYFUNCTION("""COMPUTED_VALUE"""),"East")</f>
        <v>East</v>
      </c>
      <c r="G431" s="14">
        <f>IFERROR(__xludf.DUMMYFUNCTION("""COMPUTED_VALUE"""),122.94)</f>
        <v>122.94</v>
      </c>
      <c r="H431" s="14">
        <f>IFERROR(__xludf.DUMMYFUNCTION("""COMPUTED_VALUE"""),3.0)</f>
        <v>3</v>
      </c>
      <c r="I431" s="14">
        <f>IFERROR(__xludf.DUMMYFUNCTION("""COMPUTED_VALUE"""),30.735)</f>
        <v>30.735</v>
      </c>
      <c r="J431" s="3"/>
      <c r="K431" s="21"/>
      <c r="L431" s="21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</row>
    <row r="432">
      <c r="A432" s="12"/>
      <c r="B432" s="14" t="str">
        <f>IFERROR(__xludf.DUMMYFUNCTION("""COMPUTED_VALUE"""),"CA-2014-118304")</f>
        <v>CA-2014-118304</v>
      </c>
      <c r="C432" s="22">
        <f>IFERROR(__xludf.DUMMYFUNCTION("""COMPUTED_VALUE"""),41758.0)</f>
        <v>41758</v>
      </c>
      <c r="D432" s="14" t="str">
        <f>IFERROR(__xludf.DUMMYFUNCTION("""COMPUTED_VALUE"""),"Consumer")</f>
        <v>Consumer</v>
      </c>
      <c r="E432" s="14" t="str">
        <f>IFERROR(__xludf.DUMMYFUNCTION("""COMPUTED_VALUE"""),"Delaware")</f>
        <v>Delaware</v>
      </c>
      <c r="F432" s="14" t="str">
        <f>IFERROR(__xludf.DUMMYFUNCTION("""COMPUTED_VALUE"""),"East")</f>
        <v>East</v>
      </c>
      <c r="G432" s="14">
        <f>IFERROR(__xludf.DUMMYFUNCTION("""COMPUTED_VALUE"""),19.98)</f>
        <v>19.98</v>
      </c>
      <c r="H432" s="14">
        <f>IFERROR(__xludf.DUMMYFUNCTION("""COMPUTED_VALUE"""),2.0)</f>
        <v>2</v>
      </c>
      <c r="I432" s="14">
        <f>IFERROR(__xludf.DUMMYFUNCTION("""COMPUTED_VALUE"""),5.1948)</f>
        <v>5.1948</v>
      </c>
      <c r="J432" s="3"/>
      <c r="K432" s="21"/>
      <c r="L432" s="21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</row>
    <row r="433">
      <c r="A433" s="12"/>
      <c r="B433" s="14" t="str">
        <f>IFERROR(__xludf.DUMMYFUNCTION("""COMPUTED_VALUE"""),"US-2014-103338")</f>
        <v>US-2014-103338</v>
      </c>
      <c r="C433" s="22">
        <f>IFERROR(__xludf.DUMMYFUNCTION("""COMPUTED_VALUE"""),41709.0)</f>
        <v>41709</v>
      </c>
      <c r="D433" s="14" t="str">
        <f>IFERROR(__xludf.DUMMYFUNCTION("""COMPUTED_VALUE"""),"Consumer")</f>
        <v>Consumer</v>
      </c>
      <c r="E433" s="14" t="str">
        <f>IFERROR(__xludf.DUMMYFUNCTION("""COMPUTED_VALUE"""),"California")</f>
        <v>California</v>
      </c>
      <c r="F433" s="14" t="str">
        <f>IFERROR(__xludf.DUMMYFUNCTION("""COMPUTED_VALUE"""),"West")</f>
        <v>West</v>
      </c>
      <c r="G433" s="14">
        <f>IFERROR(__xludf.DUMMYFUNCTION("""COMPUTED_VALUE"""),7.98)</f>
        <v>7.98</v>
      </c>
      <c r="H433" s="14">
        <f>IFERROR(__xludf.DUMMYFUNCTION("""COMPUTED_VALUE"""),3.0)</f>
        <v>3</v>
      </c>
      <c r="I433" s="14">
        <f>IFERROR(__xludf.DUMMYFUNCTION("""COMPUTED_VALUE"""),2.0748)</f>
        <v>2.0748</v>
      </c>
      <c r="J433" s="3"/>
      <c r="K433" s="21"/>
      <c r="L433" s="21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</row>
    <row r="434">
      <c r="A434" s="12"/>
      <c r="B434" s="14" t="str">
        <f>IFERROR(__xludf.DUMMYFUNCTION("""COMPUTED_VALUE"""),"CA-2014-168312")</f>
        <v>CA-2014-168312</v>
      </c>
      <c r="C434" s="22">
        <f>IFERROR(__xludf.DUMMYFUNCTION("""COMPUTED_VALUE"""),41699.0)</f>
        <v>41699</v>
      </c>
      <c r="D434" s="14" t="str">
        <f>IFERROR(__xludf.DUMMYFUNCTION("""COMPUTED_VALUE"""),"Consumer")</f>
        <v>Consumer</v>
      </c>
      <c r="E434" s="14" t="str">
        <f>IFERROR(__xludf.DUMMYFUNCTION("""COMPUTED_VALUE"""),"Texas")</f>
        <v>Texas</v>
      </c>
      <c r="F434" s="14" t="str">
        <f>IFERROR(__xludf.DUMMYFUNCTION("""COMPUTED_VALUE"""),"Central")</f>
        <v>Central</v>
      </c>
      <c r="G434" s="14">
        <f>IFERROR(__xludf.DUMMYFUNCTION("""COMPUTED_VALUE"""),137.352)</f>
        <v>137.352</v>
      </c>
      <c r="H434" s="14">
        <f>IFERROR(__xludf.DUMMYFUNCTION("""COMPUTED_VALUE"""),3.0)</f>
        <v>3</v>
      </c>
      <c r="I434" s="14">
        <f>IFERROR(__xludf.DUMMYFUNCTION("""COMPUTED_VALUE"""),8.5845)</f>
        <v>8.5845</v>
      </c>
      <c r="J434" s="3"/>
      <c r="K434" s="21"/>
      <c r="L434" s="21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</row>
    <row r="435">
      <c r="A435" s="12"/>
      <c r="B435" s="14" t="str">
        <f>IFERROR(__xludf.DUMMYFUNCTION("""COMPUTED_VALUE"""),"CA-2014-161634")</f>
        <v>CA-2014-161634</v>
      </c>
      <c r="C435" s="23">
        <f>IFERROR(__xludf.DUMMYFUNCTION("""COMPUTED_VALUE"""),41957.0)</f>
        <v>41957</v>
      </c>
      <c r="D435" s="14" t="str">
        <f>IFERROR(__xludf.DUMMYFUNCTION("""COMPUTED_VALUE"""),"Consumer")</f>
        <v>Consumer</v>
      </c>
      <c r="E435" s="14" t="str">
        <f>IFERROR(__xludf.DUMMYFUNCTION("""COMPUTED_VALUE"""),"Virginia")</f>
        <v>Virginia</v>
      </c>
      <c r="F435" s="14" t="str">
        <f>IFERROR(__xludf.DUMMYFUNCTION("""COMPUTED_VALUE"""),"South")</f>
        <v>South</v>
      </c>
      <c r="G435" s="14">
        <f>IFERROR(__xludf.DUMMYFUNCTION("""COMPUTED_VALUE"""),32.4)</f>
        <v>32.4</v>
      </c>
      <c r="H435" s="14">
        <f>IFERROR(__xludf.DUMMYFUNCTION("""COMPUTED_VALUE"""),5.0)</f>
        <v>5</v>
      </c>
      <c r="I435" s="14">
        <f>IFERROR(__xludf.DUMMYFUNCTION("""COMPUTED_VALUE"""),15.552)</f>
        <v>15.552</v>
      </c>
      <c r="J435" s="3"/>
      <c r="K435" s="21"/>
      <c r="L435" s="21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</row>
    <row r="436">
      <c r="A436" s="12"/>
      <c r="B436" s="14" t="str">
        <f>IFERROR(__xludf.DUMMYFUNCTION("""COMPUTED_VALUE"""),"US-2014-155544")</f>
        <v>US-2014-155544</v>
      </c>
      <c r="C436" s="22">
        <f>IFERROR(__xludf.DUMMYFUNCTION("""COMPUTED_VALUE"""),41719.0)</f>
        <v>41719</v>
      </c>
      <c r="D436" s="14" t="str">
        <f>IFERROR(__xludf.DUMMYFUNCTION("""COMPUTED_VALUE"""),"Consumer")</f>
        <v>Consumer</v>
      </c>
      <c r="E436" s="14" t="str">
        <f>IFERROR(__xludf.DUMMYFUNCTION("""COMPUTED_VALUE"""),"Tennessee")</f>
        <v>Tennessee</v>
      </c>
      <c r="F436" s="14" t="str">
        <f>IFERROR(__xludf.DUMMYFUNCTION("""COMPUTED_VALUE"""),"South")</f>
        <v>South</v>
      </c>
      <c r="G436" s="14">
        <f>IFERROR(__xludf.DUMMYFUNCTION("""COMPUTED_VALUE"""),59.2)</f>
        <v>59.2</v>
      </c>
      <c r="H436" s="14">
        <f>IFERROR(__xludf.DUMMYFUNCTION("""COMPUTED_VALUE"""),5.0)</f>
        <v>5</v>
      </c>
      <c r="I436" s="14">
        <f>IFERROR(__xludf.DUMMYFUNCTION("""COMPUTED_VALUE"""),22.2)</f>
        <v>22.2</v>
      </c>
      <c r="J436" s="3"/>
      <c r="K436" s="21"/>
      <c r="L436" s="21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</row>
    <row r="437">
      <c r="A437" s="12"/>
      <c r="B437" s="14" t="str">
        <f>IFERROR(__xludf.DUMMYFUNCTION("""COMPUTED_VALUE"""),"CA-2014-110555")</f>
        <v>CA-2014-110555</v>
      </c>
      <c r="C437" s="22">
        <f>IFERROR(__xludf.DUMMYFUNCTION("""COMPUTED_VALUE"""),41740.0)</f>
        <v>41740</v>
      </c>
      <c r="D437" s="14" t="str">
        <f>IFERROR(__xludf.DUMMYFUNCTION("""COMPUTED_VALUE"""),"Consumer")</f>
        <v>Consumer</v>
      </c>
      <c r="E437" s="14" t="str">
        <f>IFERROR(__xludf.DUMMYFUNCTION("""COMPUTED_VALUE"""),"Montana")</f>
        <v>Montana</v>
      </c>
      <c r="F437" s="14" t="str">
        <f>IFERROR(__xludf.DUMMYFUNCTION("""COMPUTED_VALUE"""),"West")</f>
        <v>West</v>
      </c>
      <c r="G437" s="14">
        <f>IFERROR(__xludf.DUMMYFUNCTION("""COMPUTED_VALUE"""),87.08)</f>
        <v>87.08</v>
      </c>
      <c r="H437" s="14">
        <f>IFERROR(__xludf.DUMMYFUNCTION("""COMPUTED_VALUE"""),7.0)</f>
        <v>7</v>
      </c>
      <c r="I437" s="14">
        <f>IFERROR(__xludf.DUMMYFUNCTION("""COMPUTED_VALUE"""),24.3824)</f>
        <v>24.3824</v>
      </c>
      <c r="J437" s="3"/>
      <c r="K437" s="21"/>
      <c r="L437" s="21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</row>
    <row r="438">
      <c r="A438" s="12"/>
      <c r="B438" s="14" t="str">
        <f>IFERROR(__xludf.DUMMYFUNCTION("""COMPUTED_VALUE"""),"CA-2014-165393")</f>
        <v>CA-2014-165393</v>
      </c>
      <c r="C438" s="23">
        <f>IFERROR(__xludf.DUMMYFUNCTION("""COMPUTED_VALUE"""),42000.0)</f>
        <v>42000</v>
      </c>
      <c r="D438" s="14" t="str">
        <f>IFERROR(__xludf.DUMMYFUNCTION("""COMPUTED_VALUE"""),"Consumer")</f>
        <v>Consumer</v>
      </c>
      <c r="E438" s="14" t="str">
        <f>IFERROR(__xludf.DUMMYFUNCTION("""COMPUTED_VALUE"""),"Texas")</f>
        <v>Texas</v>
      </c>
      <c r="F438" s="14" t="str">
        <f>IFERROR(__xludf.DUMMYFUNCTION("""COMPUTED_VALUE"""),"Central")</f>
        <v>Central</v>
      </c>
      <c r="G438" s="14">
        <f>IFERROR(__xludf.DUMMYFUNCTION("""COMPUTED_VALUE"""),4.984)</f>
        <v>4.984</v>
      </c>
      <c r="H438" s="14">
        <f>IFERROR(__xludf.DUMMYFUNCTION("""COMPUTED_VALUE"""),1.0)</f>
        <v>1</v>
      </c>
      <c r="I438" s="14">
        <f>IFERROR(__xludf.DUMMYFUNCTION("""COMPUTED_VALUE"""),-8.4728)</f>
        <v>-8.4728</v>
      </c>
      <c r="J438" s="3"/>
      <c r="K438" s="21"/>
      <c r="L438" s="21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</row>
    <row r="439">
      <c r="A439" s="12"/>
      <c r="B439" s="14" t="str">
        <f>IFERROR(__xludf.DUMMYFUNCTION("""COMPUTED_VALUE"""),"CA-2014-103527")</f>
        <v>CA-2014-103527</v>
      </c>
      <c r="C439" s="22">
        <f>IFERROR(__xludf.DUMMYFUNCTION("""COMPUTED_VALUE"""),41891.0)</f>
        <v>41891</v>
      </c>
      <c r="D439" s="14" t="str">
        <f>IFERROR(__xludf.DUMMYFUNCTION("""COMPUTED_VALUE"""),"Consumer")</f>
        <v>Consumer</v>
      </c>
      <c r="E439" s="14" t="str">
        <f>IFERROR(__xludf.DUMMYFUNCTION("""COMPUTED_VALUE"""),"Illinois")</f>
        <v>Illinois</v>
      </c>
      <c r="F439" s="14" t="str">
        <f>IFERROR(__xludf.DUMMYFUNCTION("""COMPUTED_VALUE"""),"Central")</f>
        <v>Central</v>
      </c>
      <c r="G439" s="14">
        <f>IFERROR(__xludf.DUMMYFUNCTION("""COMPUTED_VALUE"""),10.896)</f>
        <v>10.896</v>
      </c>
      <c r="H439" s="14">
        <f>IFERROR(__xludf.DUMMYFUNCTION("""COMPUTED_VALUE"""),3.0)</f>
        <v>3</v>
      </c>
      <c r="I439" s="14">
        <f>IFERROR(__xludf.DUMMYFUNCTION("""COMPUTED_VALUE"""),3.405)</f>
        <v>3.405</v>
      </c>
      <c r="J439" s="3"/>
      <c r="K439" s="21"/>
      <c r="L439" s="21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</row>
    <row r="440">
      <c r="A440" s="12"/>
      <c r="B440" s="14" t="str">
        <f>IFERROR(__xludf.DUMMYFUNCTION("""COMPUTED_VALUE"""),"CA-2014-152254")</f>
        <v>CA-2014-152254</v>
      </c>
      <c r="C440" s="22">
        <f>IFERROR(__xludf.DUMMYFUNCTION("""COMPUTED_VALUE"""),41820.0)</f>
        <v>41820</v>
      </c>
      <c r="D440" s="14" t="str">
        <f>IFERROR(__xludf.DUMMYFUNCTION("""COMPUTED_VALUE"""),"Consumer")</f>
        <v>Consumer</v>
      </c>
      <c r="E440" s="14" t="str">
        <f>IFERROR(__xludf.DUMMYFUNCTION("""COMPUTED_VALUE"""),"North Carolina")</f>
        <v>North Carolina</v>
      </c>
      <c r="F440" s="14" t="str">
        <f>IFERROR(__xludf.DUMMYFUNCTION("""COMPUTED_VALUE"""),"South")</f>
        <v>South</v>
      </c>
      <c r="G440" s="14">
        <f>IFERROR(__xludf.DUMMYFUNCTION("""COMPUTED_VALUE"""),310.688)</f>
        <v>310.688</v>
      </c>
      <c r="H440" s="14">
        <f>IFERROR(__xludf.DUMMYFUNCTION("""COMPUTED_VALUE"""),7.0)</f>
        <v>7</v>
      </c>
      <c r="I440" s="14">
        <f>IFERROR(__xludf.DUMMYFUNCTION("""COMPUTED_VALUE"""),108.7408)</f>
        <v>108.7408</v>
      </c>
      <c r="J440" s="3"/>
      <c r="K440" s="21"/>
      <c r="L440" s="21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</row>
    <row r="441">
      <c r="A441" s="12"/>
      <c r="B441" s="14" t="str">
        <f>IFERROR(__xludf.DUMMYFUNCTION("""COMPUTED_VALUE"""),"US-2014-113124")</f>
        <v>US-2014-113124</v>
      </c>
      <c r="C441" s="22">
        <f>IFERROR(__xludf.DUMMYFUNCTION("""COMPUTED_VALUE"""),41728.0)</f>
        <v>41728</v>
      </c>
      <c r="D441" s="14" t="str">
        <f>IFERROR(__xludf.DUMMYFUNCTION("""COMPUTED_VALUE"""),"Consumer")</f>
        <v>Consumer</v>
      </c>
      <c r="E441" s="14" t="str">
        <f>IFERROR(__xludf.DUMMYFUNCTION("""COMPUTED_VALUE"""),"Minnesota")</f>
        <v>Minnesota</v>
      </c>
      <c r="F441" s="14" t="str">
        <f>IFERROR(__xludf.DUMMYFUNCTION("""COMPUTED_VALUE"""),"Central")</f>
        <v>Central</v>
      </c>
      <c r="G441" s="14">
        <f>IFERROR(__xludf.DUMMYFUNCTION("""COMPUTED_VALUE"""),129.3)</f>
        <v>129.3</v>
      </c>
      <c r="H441" s="14">
        <f>IFERROR(__xludf.DUMMYFUNCTION("""COMPUTED_VALUE"""),2.0)</f>
        <v>2</v>
      </c>
      <c r="I441" s="14">
        <f>IFERROR(__xludf.DUMMYFUNCTION("""COMPUTED_VALUE"""),6.465)</f>
        <v>6.465</v>
      </c>
      <c r="J441" s="3"/>
      <c r="K441" s="21"/>
      <c r="L441" s="21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</row>
    <row r="442">
      <c r="A442" s="12"/>
      <c r="B442" s="14" t="str">
        <f>IFERROR(__xludf.DUMMYFUNCTION("""COMPUTED_VALUE"""),"CA-2014-108861")</f>
        <v>CA-2014-108861</v>
      </c>
      <c r="C442" s="22">
        <f>IFERROR(__xludf.DUMMYFUNCTION("""COMPUTED_VALUE"""),41787.0)</f>
        <v>41787</v>
      </c>
      <c r="D442" s="14" t="str">
        <f>IFERROR(__xludf.DUMMYFUNCTION("""COMPUTED_VALUE"""),"Consumer")</f>
        <v>Consumer</v>
      </c>
      <c r="E442" s="14" t="str">
        <f>IFERROR(__xludf.DUMMYFUNCTION("""COMPUTED_VALUE"""),"Washington")</f>
        <v>Washington</v>
      </c>
      <c r="F442" s="14" t="str">
        <f>IFERROR(__xludf.DUMMYFUNCTION("""COMPUTED_VALUE"""),"West")</f>
        <v>West</v>
      </c>
      <c r="G442" s="14">
        <f>IFERROR(__xludf.DUMMYFUNCTION("""COMPUTED_VALUE"""),136.96)</f>
        <v>136.96</v>
      </c>
      <c r="H442" s="14">
        <f>IFERROR(__xludf.DUMMYFUNCTION("""COMPUTED_VALUE"""),4.0)</f>
        <v>4</v>
      </c>
      <c r="I442" s="14">
        <f>IFERROR(__xludf.DUMMYFUNCTION("""COMPUTED_VALUE"""),51.36)</f>
        <v>51.36</v>
      </c>
      <c r="J442" s="3"/>
      <c r="K442" s="21"/>
      <c r="L442" s="21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</row>
    <row r="443">
      <c r="A443" s="12"/>
      <c r="B443" s="14" t="str">
        <f>IFERROR(__xludf.DUMMYFUNCTION("""COMPUTED_VALUE"""),"CA-2014-131387")</f>
        <v>CA-2014-131387</v>
      </c>
      <c r="C443" s="22">
        <f>IFERROR(__xludf.DUMMYFUNCTION("""COMPUTED_VALUE"""),41757.0)</f>
        <v>41757</v>
      </c>
      <c r="D443" s="14" t="str">
        <f>IFERROR(__xludf.DUMMYFUNCTION("""COMPUTED_VALUE"""),"Consumer")</f>
        <v>Consumer</v>
      </c>
      <c r="E443" s="14" t="str">
        <f>IFERROR(__xludf.DUMMYFUNCTION("""COMPUTED_VALUE"""),"California")</f>
        <v>California</v>
      </c>
      <c r="F443" s="14" t="str">
        <f>IFERROR(__xludf.DUMMYFUNCTION("""COMPUTED_VALUE"""),"West")</f>
        <v>West</v>
      </c>
      <c r="G443" s="14">
        <f>IFERROR(__xludf.DUMMYFUNCTION("""COMPUTED_VALUE"""),1679.96)</f>
        <v>1679.96</v>
      </c>
      <c r="H443" s="14">
        <f>IFERROR(__xludf.DUMMYFUNCTION("""COMPUTED_VALUE"""),5.0)</f>
        <v>5</v>
      </c>
      <c r="I443" s="14">
        <f>IFERROR(__xludf.DUMMYFUNCTION("""COMPUTED_VALUE"""),125.997)</f>
        <v>125.997</v>
      </c>
      <c r="J443" s="3"/>
      <c r="K443" s="21"/>
      <c r="L443" s="21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</row>
    <row r="444">
      <c r="A444" s="12"/>
      <c r="B444" s="14" t="str">
        <f>IFERROR(__xludf.DUMMYFUNCTION("""COMPUTED_VALUE"""),"CA-2014-126200")</f>
        <v>CA-2014-126200</v>
      </c>
      <c r="C444" s="22">
        <f>IFERROR(__xludf.DUMMYFUNCTION("""COMPUTED_VALUE"""),41876.0)</f>
        <v>41876</v>
      </c>
      <c r="D444" s="14" t="str">
        <f>IFERROR(__xludf.DUMMYFUNCTION("""COMPUTED_VALUE"""),"Consumer")</f>
        <v>Consumer</v>
      </c>
      <c r="E444" s="14" t="str">
        <f>IFERROR(__xludf.DUMMYFUNCTION("""COMPUTED_VALUE"""),"Texas")</f>
        <v>Texas</v>
      </c>
      <c r="F444" s="14" t="str">
        <f>IFERROR(__xludf.DUMMYFUNCTION("""COMPUTED_VALUE"""),"Central")</f>
        <v>Central</v>
      </c>
      <c r="G444" s="14">
        <f>IFERROR(__xludf.DUMMYFUNCTION("""COMPUTED_VALUE"""),25.68)</f>
        <v>25.68</v>
      </c>
      <c r="H444" s="14">
        <f>IFERROR(__xludf.DUMMYFUNCTION("""COMPUTED_VALUE"""),3.0)</f>
        <v>3</v>
      </c>
      <c r="I444" s="14">
        <f>IFERROR(__xludf.DUMMYFUNCTION("""COMPUTED_VALUE"""),-39.804)</f>
        <v>-39.804</v>
      </c>
      <c r="J444" s="3"/>
      <c r="K444" s="21"/>
      <c r="L444" s="21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</row>
    <row r="445">
      <c r="A445" s="12"/>
      <c r="B445" s="14" t="str">
        <f>IFERROR(__xludf.DUMMYFUNCTION("""COMPUTED_VALUE"""),"CA-2014-146500")</f>
        <v>CA-2014-146500</v>
      </c>
      <c r="C445" s="22">
        <f>IFERROR(__xludf.DUMMYFUNCTION("""COMPUTED_VALUE"""),41881.0)</f>
        <v>41881</v>
      </c>
      <c r="D445" s="14" t="str">
        <f>IFERROR(__xludf.DUMMYFUNCTION("""COMPUTED_VALUE"""),"Consumer")</f>
        <v>Consumer</v>
      </c>
      <c r="E445" s="14" t="str">
        <f>IFERROR(__xludf.DUMMYFUNCTION("""COMPUTED_VALUE"""),"Connecticut")</f>
        <v>Connecticut</v>
      </c>
      <c r="F445" s="14" t="str">
        <f>IFERROR(__xludf.DUMMYFUNCTION("""COMPUTED_VALUE"""),"East")</f>
        <v>East</v>
      </c>
      <c r="G445" s="14">
        <f>IFERROR(__xludf.DUMMYFUNCTION("""COMPUTED_VALUE"""),25.3)</f>
        <v>25.3</v>
      </c>
      <c r="H445" s="14">
        <f>IFERROR(__xludf.DUMMYFUNCTION("""COMPUTED_VALUE"""),5.0)</f>
        <v>5</v>
      </c>
      <c r="I445" s="14">
        <f>IFERROR(__xludf.DUMMYFUNCTION("""COMPUTED_VALUE"""),11.891)</f>
        <v>11.891</v>
      </c>
      <c r="J445" s="3"/>
      <c r="K445" s="21"/>
      <c r="L445" s="21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</row>
    <row r="446">
      <c r="A446" s="12"/>
      <c r="B446" s="14" t="str">
        <f>IFERROR(__xludf.DUMMYFUNCTION("""COMPUTED_VALUE"""),"CA-2014-109890")</f>
        <v>CA-2014-109890</v>
      </c>
      <c r="C446" s="22">
        <f>IFERROR(__xludf.DUMMYFUNCTION("""COMPUTED_VALUE"""),41841.0)</f>
        <v>41841</v>
      </c>
      <c r="D446" s="14" t="str">
        <f>IFERROR(__xludf.DUMMYFUNCTION("""COMPUTED_VALUE"""),"Consumer")</f>
        <v>Consumer</v>
      </c>
      <c r="E446" s="14" t="str">
        <f>IFERROR(__xludf.DUMMYFUNCTION("""COMPUTED_VALUE"""),"Nebraska")</f>
        <v>Nebraska</v>
      </c>
      <c r="F446" s="14" t="str">
        <f>IFERROR(__xludf.DUMMYFUNCTION("""COMPUTED_VALUE"""),"Central")</f>
        <v>Central</v>
      </c>
      <c r="G446" s="14">
        <f>IFERROR(__xludf.DUMMYFUNCTION("""COMPUTED_VALUE"""),35.98)</f>
        <v>35.98</v>
      </c>
      <c r="H446" s="14">
        <f>IFERROR(__xludf.DUMMYFUNCTION("""COMPUTED_VALUE"""),2.0)</f>
        <v>2</v>
      </c>
      <c r="I446" s="14">
        <f>IFERROR(__xludf.DUMMYFUNCTION("""COMPUTED_VALUE"""),10.0744)</f>
        <v>10.0744</v>
      </c>
      <c r="J446" s="3"/>
      <c r="K446" s="21"/>
      <c r="L446" s="21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</row>
    <row r="447">
      <c r="A447" s="12"/>
      <c r="B447" s="14" t="str">
        <f>IFERROR(__xludf.DUMMYFUNCTION("""COMPUTED_VALUE"""),"CA-2014-169061")</f>
        <v>CA-2014-169061</v>
      </c>
      <c r="C447" s="22">
        <f>IFERROR(__xludf.DUMMYFUNCTION("""COMPUTED_VALUE"""),41703.0)</f>
        <v>41703</v>
      </c>
      <c r="D447" s="14" t="str">
        <f>IFERROR(__xludf.DUMMYFUNCTION("""COMPUTED_VALUE"""),"Consumer")</f>
        <v>Consumer</v>
      </c>
      <c r="E447" s="14" t="str">
        <f>IFERROR(__xludf.DUMMYFUNCTION("""COMPUTED_VALUE"""),"New York")</f>
        <v>New York</v>
      </c>
      <c r="F447" s="14" t="str">
        <f>IFERROR(__xludf.DUMMYFUNCTION("""COMPUTED_VALUE"""),"East")</f>
        <v>East</v>
      </c>
      <c r="G447" s="14">
        <f>IFERROR(__xludf.DUMMYFUNCTION("""COMPUTED_VALUE"""),59.52)</f>
        <v>59.52</v>
      </c>
      <c r="H447" s="14">
        <f>IFERROR(__xludf.DUMMYFUNCTION("""COMPUTED_VALUE"""),3.0)</f>
        <v>3</v>
      </c>
      <c r="I447" s="14">
        <f>IFERROR(__xludf.DUMMYFUNCTION("""COMPUTED_VALUE"""),15.4752)</f>
        <v>15.4752</v>
      </c>
      <c r="J447" s="3"/>
      <c r="K447" s="21"/>
      <c r="L447" s="21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</row>
    <row r="448">
      <c r="A448" s="12"/>
      <c r="B448" s="14" t="str">
        <f>IFERROR(__xludf.DUMMYFUNCTION("""COMPUTED_VALUE"""),"US-2014-163146")</f>
        <v>US-2014-163146</v>
      </c>
      <c r="C448" s="22">
        <f>IFERROR(__xludf.DUMMYFUNCTION("""COMPUTED_VALUE"""),41775.0)</f>
        <v>41775</v>
      </c>
      <c r="D448" s="14" t="str">
        <f>IFERROR(__xludf.DUMMYFUNCTION("""COMPUTED_VALUE"""),"Consumer")</f>
        <v>Consumer</v>
      </c>
      <c r="E448" s="14" t="str">
        <f>IFERROR(__xludf.DUMMYFUNCTION("""COMPUTED_VALUE"""),"California")</f>
        <v>California</v>
      </c>
      <c r="F448" s="14" t="str">
        <f>IFERROR(__xludf.DUMMYFUNCTION("""COMPUTED_VALUE"""),"West")</f>
        <v>West</v>
      </c>
      <c r="G448" s="14">
        <f>IFERROR(__xludf.DUMMYFUNCTION("""COMPUTED_VALUE"""),56.4)</f>
        <v>56.4</v>
      </c>
      <c r="H448" s="14">
        <f>IFERROR(__xludf.DUMMYFUNCTION("""COMPUTED_VALUE"""),3.0)</f>
        <v>3</v>
      </c>
      <c r="I448" s="14">
        <f>IFERROR(__xludf.DUMMYFUNCTION("""COMPUTED_VALUE"""),3.384)</f>
        <v>3.384</v>
      </c>
      <c r="J448" s="3"/>
      <c r="K448" s="21"/>
      <c r="L448" s="21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</row>
    <row r="449">
      <c r="A449" s="12"/>
      <c r="B449" s="14" t="str">
        <f>IFERROR(__xludf.DUMMYFUNCTION("""COMPUTED_VALUE"""),"CA-2014-137575")</f>
        <v>CA-2014-137575</v>
      </c>
      <c r="C449" s="22">
        <f>IFERROR(__xludf.DUMMYFUNCTION("""COMPUTED_VALUE"""),41857.0)</f>
        <v>41857</v>
      </c>
      <c r="D449" s="14" t="str">
        <f>IFERROR(__xludf.DUMMYFUNCTION("""COMPUTED_VALUE"""),"Consumer")</f>
        <v>Consumer</v>
      </c>
      <c r="E449" s="14" t="str">
        <f>IFERROR(__xludf.DUMMYFUNCTION("""COMPUTED_VALUE"""),"New York")</f>
        <v>New York</v>
      </c>
      <c r="F449" s="14" t="str">
        <f>IFERROR(__xludf.DUMMYFUNCTION("""COMPUTED_VALUE"""),"East")</f>
        <v>East</v>
      </c>
      <c r="G449" s="14">
        <f>IFERROR(__xludf.DUMMYFUNCTION("""COMPUTED_VALUE"""),199.98)</f>
        <v>199.98</v>
      </c>
      <c r="H449" s="14">
        <f>IFERROR(__xludf.DUMMYFUNCTION("""COMPUTED_VALUE"""),2.0)</f>
        <v>2</v>
      </c>
      <c r="I449" s="14">
        <f>IFERROR(__xludf.DUMMYFUNCTION("""COMPUTED_VALUE"""),83.9916)</f>
        <v>83.9916</v>
      </c>
      <c r="J449" s="3"/>
      <c r="K449" s="21"/>
      <c r="L449" s="21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</row>
    <row r="450">
      <c r="A450" s="12"/>
      <c r="B450" s="14" t="str">
        <f>IFERROR(__xludf.DUMMYFUNCTION("""COMPUTED_VALUE"""),"CA-2014-121629")</f>
        <v>CA-2014-121629</v>
      </c>
      <c r="C450" s="23">
        <f>IFERROR(__xludf.DUMMYFUNCTION("""COMPUTED_VALUE"""),41971.0)</f>
        <v>41971</v>
      </c>
      <c r="D450" s="14" t="str">
        <f>IFERROR(__xludf.DUMMYFUNCTION("""COMPUTED_VALUE"""),"Consumer")</f>
        <v>Consumer</v>
      </c>
      <c r="E450" s="14" t="str">
        <f>IFERROR(__xludf.DUMMYFUNCTION("""COMPUTED_VALUE"""),"Texas")</f>
        <v>Texas</v>
      </c>
      <c r="F450" s="14" t="str">
        <f>IFERROR(__xludf.DUMMYFUNCTION("""COMPUTED_VALUE"""),"Central")</f>
        <v>Central</v>
      </c>
      <c r="G450" s="14">
        <f>IFERROR(__xludf.DUMMYFUNCTION("""COMPUTED_VALUE"""),998.85)</f>
        <v>998.85</v>
      </c>
      <c r="H450" s="14">
        <f>IFERROR(__xludf.DUMMYFUNCTION("""COMPUTED_VALUE"""),5.0)</f>
        <v>5</v>
      </c>
      <c r="I450" s="14">
        <f>IFERROR(__xludf.DUMMYFUNCTION("""COMPUTED_VALUE"""),-199.77)</f>
        <v>-199.77</v>
      </c>
      <c r="J450" s="3"/>
      <c r="K450" s="21"/>
      <c r="L450" s="21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</row>
    <row r="451">
      <c r="A451" s="12"/>
      <c r="B451" s="14" t="str">
        <f>IFERROR(__xludf.DUMMYFUNCTION("""COMPUTED_VALUE"""),"CA-2014-151946")</f>
        <v>CA-2014-151946</v>
      </c>
      <c r="C451" s="22">
        <f>IFERROR(__xludf.DUMMYFUNCTION("""COMPUTED_VALUE"""),41794.0)</f>
        <v>41794</v>
      </c>
      <c r="D451" s="14" t="str">
        <f>IFERROR(__xludf.DUMMYFUNCTION("""COMPUTED_VALUE"""),"Consumer")</f>
        <v>Consumer</v>
      </c>
      <c r="E451" s="14" t="str">
        <f>IFERROR(__xludf.DUMMYFUNCTION("""COMPUTED_VALUE"""),"New York")</f>
        <v>New York</v>
      </c>
      <c r="F451" s="14" t="str">
        <f>IFERROR(__xludf.DUMMYFUNCTION("""COMPUTED_VALUE"""),"East")</f>
        <v>East</v>
      </c>
      <c r="G451" s="14">
        <f>IFERROR(__xludf.DUMMYFUNCTION("""COMPUTED_VALUE"""),56.96)</f>
        <v>56.96</v>
      </c>
      <c r="H451" s="14">
        <f>IFERROR(__xludf.DUMMYFUNCTION("""COMPUTED_VALUE"""),2.0)</f>
        <v>2</v>
      </c>
      <c r="I451" s="14">
        <f>IFERROR(__xludf.DUMMYFUNCTION("""COMPUTED_VALUE"""),21.0752)</f>
        <v>21.0752</v>
      </c>
      <c r="J451" s="3"/>
      <c r="K451" s="21"/>
      <c r="L451" s="21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</row>
    <row r="452">
      <c r="A452" s="12"/>
      <c r="B452" s="14" t="str">
        <f>IFERROR(__xludf.DUMMYFUNCTION("""COMPUTED_VALUE"""),"CA-2014-160094")</f>
        <v>CA-2014-160094</v>
      </c>
      <c r="C452" s="22">
        <f>IFERROR(__xludf.DUMMYFUNCTION("""COMPUTED_VALUE"""),41759.0)</f>
        <v>41759</v>
      </c>
      <c r="D452" s="14" t="str">
        <f>IFERROR(__xludf.DUMMYFUNCTION("""COMPUTED_VALUE"""),"Consumer")</f>
        <v>Consumer</v>
      </c>
      <c r="E452" s="14" t="str">
        <f>IFERROR(__xludf.DUMMYFUNCTION("""COMPUTED_VALUE"""),"Kentucky")</f>
        <v>Kentucky</v>
      </c>
      <c r="F452" s="14" t="str">
        <f>IFERROR(__xludf.DUMMYFUNCTION("""COMPUTED_VALUE"""),"South")</f>
        <v>South</v>
      </c>
      <c r="G452" s="14">
        <f>IFERROR(__xludf.DUMMYFUNCTION("""COMPUTED_VALUE"""),174.95)</f>
        <v>174.95</v>
      </c>
      <c r="H452" s="14">
        <f>IFERROR(__xludf.DUMMYFUNCTION("""COMPUTED_VALUE"""),5.0)</f>
        <v>5</v>
      </c>
      <c r="I452" s="14">
        <f>IFERROR(__xludf.DUMMYFUNCTION("""COMPUTED_VALUE"""),45.487)</f>
        <v>45.487</v>
      </c>
      <c r="J452" s="3"/>
      <c r="K452" s="21"/>
      <c r="L452" s="21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</row>
    <row r="453">
      <c r="A453" s="12"/>
      <c r="B453" s="14" t="str">
        <f>IFERROR(__xludf.DUMMYFUNCTION("""COMPUTED_VALUE"""),"CA-2014-142769")</f>
        <v>CA-2014-142769</v>
      </c>
      <c r="C453" s="22">
        <f>IFERROR(__xludf.DUMMYFUNCTION("""COMPUTED_VALUE"""),41895.0)</f>
        <v>41895</v>
      </c>
      <c r="D453" s="14" t="str">
        <f>IFERROR(__xludf.DUMMYFUNCTION("""COMPUTED_VALUE"""),"Consumer")</f>
        <v>Consumer</v>
      </c>
      <c r="E453" s="14" t="str">
        <f>IFERROR(__xludf.DUMMYFUNCTION("""COMPUTED_VALUE"""),"Washington")</f>
        <v>Washington</v>
      </c>
      <c r="F453" s="14" t="str">
        <f>IFERROR(__xludf.DUMMYFUNCTION("""COMPUTED_VALUE"""),"West")</f>
        <v>West</v>
      </c>
      <c r="G453" s="14">
        <f>IFERROR(__xludf.DUMMYFUNCTION("""COMPUTED_VALUE"""),5.7)</f>
        <v>5.7</v>
      </c>
      <c r="H453" s="14">
        <f>IFERROR(__xludf.DUMMYFUNCTION("""COMPUTED_VALUE"""),5.0)</f>
        <v>5</v>
      </c>
      <c r="I453" s="14">
        <f>IFERROR(__xludf.DUMMYFUNCTION("""COMPUTED_VALUE"""),2.679)</f>
        <v>2.679</v>
      </c>
      <c r="J453" s="3"/>
      <c r="K453" s="21"/>
      <c r="L453" s="21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</row>
    <row r="454">
      <c r="A454" s="12"/>
      <c r="B454" s="14" t="str">
        <f>IFERROR(__xludf.DUMMYFUNCTION("""COMPUTED_VALUE"""),"US-2014-159611")</f>
        <v>US-2014-159611</v>
      </c>
      <c r="C454" s="23">
        <f>IFERROR(__xludf.DUMMYFUNCTION("""COMPUTED_VALUE"""),42000.0)</f>
        <v>42000</v>
      </c>
      <c r="D454" s="14" t="str">
        <f>IFERROR(__xludf.DUMMYFUNCTION("""COMPUTED_VALUE"""),"Consumer")</f>
        <v>Consumer</v>
      </c>
      <c r="E454" s="14" t="str">
        <f>IFERROR(__xludf.DUMMYFUNCTION("""COMPUTED_VALUE"""),"Ohio")</f>
        <v>Ohio</v>
      </c>
      <c r="F454" s="14" t="str">
        <f>IFERROR(__xludf.DUMMYFUNCTION("""COMPUTED_VALUE"""),"East")</f>
        <v>East</v>
      </c>
      <c r="G454" s="14">
        <f>IFERROR(__xludf.DUMMYFUNCTION("""COMPUTED_VALUE"""),182.352)</f>
        <v>182.352</v>
      </c>
      <c r="H454" s="14">
        <f>IFERROR(__xludf.DUMMYFUNCTION("""COMPUTED_VALUE"""),3.0)</f>
        <v>3</v>
      </c>
      <c r="I454" s="14">
        <f>IFERROR(__xludf.DUMMYFUNCTION("""COMPUTED_VALUE"""),-18.2352)</f>
        <v>-18.2352</v>
      </c>
      <c r="J454" s="3"/>
      <c r="K454" s="21"/>
      <c r="L454" s="21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</row>
    <row r="455">
      <c r="A455" s="12"/>
      <c r="B455" s="14" t="str">
        <f>IFERROR(__xludf.DUMMYFUNCTION("""COMPUTED_VALUE"""),"CA-2014-105648")</f>
        <v>CA-2014-105648</v>
      </c>
      <c r="C455" s="22">
        <f>IFERROR(__xludf.DUMMYFUNCTION("""COMPUTED_VALUE"""),41701.0)</f>
        <v>41701</v>
      </c>
      <c r="D455" s="14" t="str">
        <f>IFERROR(__xludf.DUMMYFUNCTION("""COMPUTED_VALUE"""),"Consumer")</f>
        <v>Consumer</v>
      </c>
      <c r="E455" s="14" t="str">
        <f>IFERROR(__xludf.DUMMYFUNCTION("""COMPUTED_VALUE"""),"California")</f>
        <v>California</v>
      </c>
      <c r="F455" s="14" t="str">
        <f>IFERROR(__xludf.DUMMYFUNCTION("""COMPUTED_VALUE"""),"West")</f>
        <v>West</v>
      </c>
      <c r="G455" s="14">
        <f>IFERROR(__xludf.DUMMYFUNCTION("""COMPUTED_VALUE"""),626.352)</f>
        <v>626.352</v>
      </c>
      <c r="H455" s="14">
        <f>IFERROR(__xludf.DUMMYFUNCTION("""COMPUTED_VALUE"""),3.0)</f>
        <v>3</v>
      </c>
      <c r="I455" s="14">
        <f>IFERROR(__xludf.DUMMYFUNCTION("""COMPUTED_VALUE"""),-23.4882)</f>
        <v>-23.4882</v>
      </c>
      <c r="J455" s="3"/>
      <c r="K455" s="21"/>
      <c r="L455" s="21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</row>
    <row r="456">
      <c r="A456" s="12"/>
      <c r="B456" s="14" t="str">
        <f>IFERROR(__xludf.DUMMYFUNCTION("""COMPUTED_VALUE"""),"CA-2014-116666")</f>
        <v>CA-2014-116666</v>
      </c>
      <c r="C456" s="22">
        <f>IFERROR(__xludf.DUMMYFUNCTION("""COMPUTED_VALUE"""),41767.0)</f>
        <v>41767</v>
      </c>
      <c r="D456" s="14" t="str">
        <f>IFERROR(__xludf.DUMMYFUNCTION("""COMPUTED_VALUE"""),"Consumer")</f>
        <v>Consumer</v>
      </c>
      <c r="E456" s="14" t="str">
        <f>IFERROR(__xludf.DUMMYFUNCTION("""COMPUTED_VALUE"""),"Pennsylvania")</f>
        <v>Pennsylvania</v>
      </c>
      <c r="F456" s="14" t="str">
        <f>IFERROR(__xludf.DUMMYFUNCTION("""COMPUTED_VALUE"""),"East")</f>
        <v>East</v>
      </c>
      <c r="G456" s="14">
        <f>IFERROR(__xludf.DUMMYFUNCTION("""COMPUTED_VALUE"""),1799.97)</f>
        <v>1799.97</v>
      </c>
      <c r="H456" s="14">
        <f>IFERROR(__xludf.DUMMYFUNCTION("""COMPUTED_VALUE"""),5.0)</f>
        <v>5</v>
      </c>
      <c r="I456" s="14">
        <f>IFERROR(__xludf.DUMMYFUNCTION("""COMPUTED_VALUE"""),239.996)</f>
        <v>239.996</v>
      </c>
      <c r="J456" s="3"/>
      <c r="K456" s="21"/>
      <c r="L456" s="21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</row>
    <row r="457">
      <c r="A457" s="12"/>
      <c r="B457" s="14" t="str">
        <f>IFERROR(__xludf.DUMMYFUNCTION("""COMPUTED_VALUE"""),"US-2014-157847")</f>
        <v>US-2014-157847</v>
      </c>
      <c r="C457" s="22">
        <f>IFERROR(__xludf.DUMMYFUNCTION("""COMPUTED_VALUE"""),41731.0)</f>
        <v>41731</v>
      </c>
      <c r="D457" s="14" t="str">
        <f>IFERROR(__xludf.DUMMYFUNCTION("""COMPUTED_VALUE"""),"Consumer")</f>
        <v>Consumer</v>
      </c>
      <c r="E457" s="14" t="str">
        <f>IFERROR(__xludf.DUMMYFUNCTION("""COMPUTED_VALUE"""),"Texas")</f>
        <v>Texas</v>
      </c>
      <c r="F457" s="14" t="str">
        <f>IFERROR(__xludf.DUMMYFUNCTION("""COMPUTED_VALUE"""),"Central")</f>
        <v>Central</v>
      </c>
      <c r="G457" s="14">
        <f>IFERROR(__xludf.DUMMYFUNCTION("""COMPUTED_VALUE"""),26.72)</f>
        <v>26.72</v>
      </c>
      <c r="H457" s="14">
        <f>IFERROR(__xludf.DUMMYFUNCTION("""COMPUTED_VALUE"""),5.0)</f>
        <v>5</v>
      </c>
      <c r="I457" s="14">
        <f>IFERROR(__xludf.DUMMYFUNCTION("""COMPUTED_VALUE"""),9.352)</f>
        <v>9.352</v>
      </c>
      <c r="J457" s="3"/>
      <c r="K457" s="21"/>
      <c r="L457" s="21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</row>
    <row r="458">
      <c r="A458" s="12"/>
      <c r="B458" s="14" t="str">
        <f>IFERROR(__xludf.DUMMYFUNCTION("""COMPUTED_VALUE"""),"CA-2014-119977")</f>
        <v>CA-2014-119977</v>
      </c>
      <c r="C458" s="22">
        <f>IFERROR(__xludf.DUMMYFUNCTION("""COMPUTED_VALUE"""),41920.0)</f>
        <v>41920</v>
      </c>
      <c r="D458" s="14" t="str">
        <f>IFERROR(__xludf.DUMMYFUNCTION("""COMPUTED_VALUE"""),"Consumer")</f>
        <v>Consumer</v>
      </c>
      <c r="E458" s="14" t="str">
        <f>IFERROR(__xludf.DUMMYFUNCTION("""COMPUTED_VALUE"""),"New York")</f>
        <v>New York</v>
      </c>
      <c r="F458" s="14" t="str">
        <f>IFERROR(__xludf.DUMMYFUNCTION("""COMPUTED_VALUE"""),"East")</f>
        <v>East</v>
      </c>
      <c r="G458" s="14">
        <f>IFERROR(__xludf.DUMMYFUNCTION("""COMPUTED_VALUE"""),123.92)</f>
        <v>123.92</v>
      </c>
      <c r="H458" s="14">
        <f>IFERROR(__xludf.DUMMYFUNCTION("""COMPUTED_VALUE"""),4.0)</f>
        <v>4</v>
      </c>
      <c r="I458" s="14">
        <f>IFERROR(__xludf.DUMMYFUNCTION("""COMPUTED_VALUE"""),55.764)</f>
        <v>55.764</v>
      </c>
      <c r="J458" s="3"/>
      <c r="K458" s="21"/>
      <c r="L458" s="21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</row>
    <row r="459">
      <c r="A459" s="12"/>
      <c r="B459" s="14" t="str">
        <f>IFERROR(__xludf.DUMMYFUNCTION("""COMPUTED_VALUE"""),"CA-2014-120411")</f>
        <v>CA-2014-120411</v>
      </c>
      <c r="C459" s="22">
        <f>IFERROR(__xludf.DUMMYFUNCTION("""COMPUTED_VALUE"""),41902.0)</f>
        <v>41902</v>
      </c>
      <c r="D459" s="14" t="str">
        <f>IFERROR(__xludf.DUMMYFUNCTION("""COMPUTED_VALUE"""),"Consumer")</f>
        <v>Consumer</v>
      </c>
      <c r="E459" s="14" t="str">
        <f>IFERROR(__xludf.DUMMYFUNCTION("""COMPUTED_VALUE"""),"Illinois")</f>
        <v>Illinois</v>
      </c>
      <c r="F459" s="14" t="str">
        <f>IFERROR(__xludf.DUMMYFUNCTION("""COMPUTED_VALUE"""),"Central")</f>
        <v>Central</v>
      </c>
      <c r="G459" s="14">
        <f>IFERROR(__xludf.DUMMYFUNCTION("""COMPUTED_VALUE"""),493.43)</f>
        <v>493.43</v>
      </c>
      <c r="H459" s="14">
        <f>IFERROR(__xludf.DUMMYFUNCTION("""COMPUTED_VALUE"""),5.0)</f>
        <v>5</v>
      </c>
      <c r="I459" s="14">
        <f>IFERROR(__xludf.DUMMYFUNCTION("""COMPUTED_VALUE"""),-70.49)</f>
        <v>-70.49</v>
      </c>
      <c r="J459" s="3"/>
      <c r="K459" s="21"/>
      <c r="L459" s="21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</row>
    <row r="460">
      <c r="A460" s="12"/>
      <c r="B460" s="14" t="str">
        <f>IFERROR(__xludf.DUMMYFUNCTION("""COMPUTED_VALUE"""),"US-2014-105137")</f>
        <v>US-2014-105137</v>
      </c>
      <c r="C460" s="23">
        <f>IFERROR(__xludf.DUMMYFUNCTION("""COMPUTED_VALUE"""),41922.0)</f>
        <v>41922</v>
      </c>
      <c r="D460" s="14" t="str">
        <f>IFERROR(__xludf.DUMMYFUNCTION("""COMPUTED_VALUE"""),"Consumer")</f>
        <v>Consumer</v>
      </c>
      <c r="E460" s="14" t="str">
        <f>IFERROR(__xludf.DUMMYFUNCTION("""COMPUTED_VALUE"""),"Ohio")</f>
        <v>Ohio</v>
      </c>
      <c r="F460" s="14" t="str">
        <f>IFERROR(__xludf.DUMMYFUNCTION("""COMPUTED_VALUE"""),"East")</f>
        <v>East</v>
      </c>
      <c r="G460" s="14">
        <f>IFERROR(__xludf.DUMMYFUNCTION("""COMPUTED_VALUE"""),101.994)</f>
        <v>101.994</v>
      </c>
      <c r="H460" s="14">
        <f>IFERROR(__xludf.DUMMYFUNCTION("""COMPUTED_VALUE"""),2.0)</f>
        <v>2</v>
      </c>
      <c r="I460" s="14">
        <f>IFERROR(__xludf.DUMMYFUNCTION("""COMPUTED_VALUE"""),-71.3958)</f>
        <v>-71.3958</v>
      </c>
      <c r="J460" s="3"/>
      <c r="K460" s="21"/>
      <c r="L460" s="21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</row>
    <row r="461">
      <c r="A461" s="12"/>
      <c r="B461" s="14" t="str">
        <f>IFERROR(__xludf.DUMMYFUNCTION("""COMPUTED_VALUE"""),"CA-2014-124723")</f>
        <v>CA-2014-124723</v>
      </c>
      <c r="C461" s="22">
        <f>IFERROR(__xludf.DUMMYFUNCTION("""COMPUTED_VALUE"""),41856.0)</f>
        <v>41856</v>
      </c>
      <c r="D461" s="14" t="str">
        <f>IFERROR(__xludf.DUMMYFUNCTION("""COMPUTED_VALUE"""),"Consumer")</f>
        <v>Consumer</v>
      </c>
      <c r="E461" s="14" t="str">
        <f>IFERROR(__xludf.DUMMYFUNCTION("""COMPUTED_VALUE"""),"Texas")</f>
        <v>Texas</v>
      </c>
      <c r="F461" s="14" t="str">
        <f>IFERROR(__xludf.DUMMYFUNCTION("""COMPUTED_VALUE"""),"Central")</f>
        <v>Central</v>
      </c>
      <c r="G461" s="14">
        <f>IFERROR(__xludf.DUMMYFUNCTION("""COMPUTED_VALUE"""),489.23)</f>
        <v>489.23</v>
      </c>
      <c r="H461" s="14">
        <f>IFERROR(__xludf.DUMMYFUNCTION("""COMPUTED_VALUE"""),2.0)</f>
        <v>2</v>
      </c>
      <c r="I461" s="14">
        <f>IFERROR(__xludf.DUMMYFUNCTION("""COMPUTED_VALUE"""),41.934)</f>
        <v>41.934</v>
      </c>
      <c r="J461" s="3"/>
      <c r="K461" s="21"/>
      <c r="L461" s="21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</row>
    <row r="462">
      <c r="A462" s="12"/>
      <c r="B462" s="14" t="str">
        <f>IFERROR(__xludf.DUMMYFUNCTION("""COMPUTED_VALUE"""),"CA-2014-130918")</f>
        <v>CA-2014-130918</v>
      </c>
      <c r="C462" s="22">
        <f>IFERROR(__xludf.DUMMYFUNCTION("""COMPUTED_VALUE"""),41873.0)</f>
        <v>41873</v>
      </c>
      <c r="D462" s="14" t="str">
        <f>IFERROR(__xludf.DUMMYFUNCTION("""COMPUTED_VALUE"""),"Consumer")</f>
        <v>Consumer</v>
      </c>
      <c r="E462" s="14" t="str">
        <f>IFERROR(__xludf.DUMMYFUNCTION("""COMPUTED_VALUE"""),"Florida")</f>
        <v>Florida</v>
      </c>
      <c r="F462" s="14" t="str">
        <f>IFERROR(__xludf.DUMMYFUNCTION("""COMPUTED_VALUE"""),"South")</f>
        <v>South</v>
      </c>
      <c r="G462" s="14">
        <f>IFERROR(__xludf.DUMMYFUNCTION("""COMPUTED_VALUE"""),7.632)</f>
        <v>7.632</v>
      </c>
      <c r="H462" s="14">
        <f>IFERROR(__xludf.DUMMYFUNCTION("""COMPUTED_VALUE"""),3.0)</f>
        <v>3</v>
      </c>
      <c r="I462" s="14">
        <f>IFERROR(__xludf.DUMMYFUNCTION("""COMPUTED_VALUE"""),-1.8126)</f>
        <v>-1.8126</v>
      </c>
      <c r="J462" s="3"/>
      <c r="K462" s="21"/>
      <c r="L462" s="21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</row>
    <row r="463">
      <c r="A463" s="12"/>
      <c r="B463" s="14" t="str">
        <f>IFERROR(__xludf.DUMMYFUNCTION("""COMPUTED_VALUE"""),"CA-2014-132913")</f>
        <v>CA-2014-132913</v>
      </c>
      <c r="C463" s="23">
        <f>IFERROR(__xludf.DUMMYFUNCTION("""COMPUTED_VALUE"""),41997.0)</f>
        <v>41997</v>
      </c>
      <c r="D463" s="14" t="str">
        <f>IFERROR(__xludf.DUMMYFUNCTION("""COMPUTED_VALUE"""),"Consumer")</f>
        <v>Consumer</v>
      </c>
      <c r="E463" s="14" t="str">
        <f>IFERROR(__xludf.DUMMYFUNCTION("""COMPUTED_VALUE"""),"California")</f>
        <v>California</v>
      </c>
      <c r="F463" s="14" t="str">
        <f>IFERROR(__xludf.DUMMYFUNCTION("""COMPUTED_VALUE"""),"West")</f>
        <v>West</v>
      </c>
      <c r="G463" s="14">
        <f>IFERROR(__xludf.DUMMYFUNCTION("""COMPUTED_VALUE"""),13.97)</f>
        <v>13.97</v>
      </c>
      <c r="H463" s="14">
        <f>IFERROR(__xludf.DUMMYFUNCTION("""COMPUTED_VALUE"""),1.0)</f>
        <v>1</v>
      </c>
      <c r="I463" s="14">
        <f>IFERROR(__xludf.DUMMYFUNCTION("""COMPUTED_VALUE"""),3.6322)</f>
        <v>3.6322</v>
      </c>
      <c r="J463" s="3"/>
      <c r="K463" s="21"/>
      <c r="L463" s="21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</row>
    <row r="464">
      <c r="A464" s="12"/>
      <c r="B464" s="14" t="str">
        <f>IFERROR(__xludf.DUMMYFUNCTION("""COMPUTED_VALUE"""),"CA-2014-156790")</f>
        <v>CA-2014-156790</v>
      </c>
      <c r="C464" s="22">
        <f>IFERROR(__xludf.DUMMYFUNCTION("""COMPUTED_VALUE"""),41859.0)</f>
        <v>41859</v>
      </c>
      <c r="D464" s="14" t="str">
        <f>IFERROR(__xludf.DUMMYFUNCTION("""COMPUTED_VALUE"""),"Consumer")</f>
        <v>Consumer</v>
      </c>
      <c r="E464" s="14" t="str">
        <f>IFERROR(__xludf.DUMMYFUNCTION("""COMPUTED_VALUE"""),"Florida")</f>
        <v>Florida</v>
      </c>
      <c r="F464" s="14" t="str">
        <f>IFERROR(__xludf.DUMMYFUNCTION("""COMPUTED_VALUE"""),"South")</f>
        <v>South</v>
      </c>
      <c r="G464" s="14">
        <f>IFERROR(__xludf.DUMMYFUNCTION("""COMPUTED_VALUE"""),155.456)</f>
        <v>155.456</v>
      </c>
      <c r="H464" s="14">
        <f>IFERROR(__xludf.DUMMYFUNCTION("""COMPUTED_VALUE"""),4.0)</f>
        <v>4</v>
      </c>
      <c r="I464" s="14">
        <f>IFERROR(__xludf.DUMMYFUNCTION("""COMPUTED_VALUE"""),-7.7728)</f>
        <v>-7.7728</v>
      </c>
      <c r="J464" s="3"/>
      <c r="K464" s="21"/>
      <c r="L464" s="21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</row>
    <row r="465">
      <c r="A465" s="12"/>
      <c r="B465" s="14" t="str">
        <f>IFERROR(__xludf.DUMMYFUNCTION("""COMPUTED_VALUE"""),"CA-2014-166730")</f>
        <v>CA-2014-166730</v>
      </c>
      <c r="C465" s="23">
        <f>IFERROR(__xludf.DUMMYFUNCTION("""COMPUTED_VALUE"""),42003.0)</f>
        <v>42003</v>
      </c>
      <c r="D465" s="14" t="str">
        <f>IFERROR(__xludf.DUMMYFUNCTION("""COMPUTED_VALUE"""),"Consumer")</f>
        <v>Consumer</v>
      </c>
      <c r="E465" s="14" t="str">
        <f>IFERROR(__xludf.DUMMYFUNCTION("""COMPUTED_VALUE"""),"Tennessee")</f>
        <v>Tennessee</v>
      </c>
      <c r="F465" s="14" t="str">
        <f>IFERROR(__xludf.DUMMYFUNCTION("""COMPUTED_VALUE"""),"South")</f>
        <v>South</v>
      </c>
      <c r="G465" s="14">
        <f>IFERROR(__xludf.DUMMYFUNCTION("""COMPUTED_VALUE"""),39.128)</f>
        <v>39.128</v>
      </c>
      <c r="H465" s="14">
        <f>IFERROR(__xludf.DUMMYFUNCTION("""COMPUTED_VALUE"""),1.0)</f>
        <v>1</v>
      </c>
      <c r="I465" s="14">
        <f>IFERROR(__xludf.DUMMYFUNCTION("""COMPUTED_VALUE"""),-8.8038)</f>
        <v>-8.8038</v>
      </c>
      <c r="J465" s="3"/>
      <c r="K465" s="21"/>
      <c r="L465" s="21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</row>
    <row r="466">
      <c r="A466" s="12"/>
      <c r="B466" s="14" t="str">
        <f>IFERROR(__xludf.DUMMYFUNCTION("""COMPUTED_VALUE"""),"US-2014-149034")</f>
        <v>US-2014-149034</v>
      </c>
      <c r="C466" s="23">
        <f>IFERROR(__xludf.DUMMYFUNCTION("""COMPUTED_VALUE"""),41962.0)</f>
        <v>41962</v>
      </c>
      <c r="D466" s="14" t="str">
        <f>IFERROR(__xludf.DUMMYFUNCTION("""COMPUTED_VALUE"""),"Consumer")</f>
        <v>Consumer</v>
      </c>
      <c r="E466" s="14" t="str">
        <f>IFERROR(__xludf.DUMMYFUNCTION("""COMPUTED_VALUE"""),"Pennsylvania")</f>
        <v>Pennsylvania</v>
      </c>
      <c r="F466" s="14" t="str">
        <f>IFERROR(__xludf.DUMMYFUNCTION("""COMPUTED_VALUE"""),"East")</f>
        <v>East</v>
      </c>
      <c r="G466" s="14">
        <f>IFERROR(__xludf.DUMMYFUNCTION("""COMPUTED_VALUE"""),47.496)</f>
        <v>47.496</v>
      </c>
      <c r="H466" s="14">
        <f>IFERROR(__xludf.DUMMYFUNCTION("""COMPUTED_VALUE"""),1.0)</f>
        <v>1</v>
      </c>
      <c r="I466" s="14">
        <f>IFERROR(__xludf.DUMMYFUNCTION("""COMPUTED_VALUE"""),-1.1874)</f>
        <v>-1.1874</v>
      </c>
      <c r="J466" s="3"/>
      <c r="K466" s="21"/>
      <c r="L466" s="21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</row>
    <row r="467">
      <c r="A467" s="12"/>
      <c r="B467" s="14" t="str">
        <f>IFERROR(__xludf.DUMMYFUNCTION("""COMPUTED_VALUE"""),"CA-2014-108182")</f>
        <v>CA-2014-108182</v>
      </c>
      <c r="C467" s="22">
        <f>IFERROR(__xludf.DUMMYFUNCTION("""COMPUTED_VALUE"""),41676.0)</f>
        <v>41676</v>
      </c>
      <c r="D467" s="14" t="str">
        <f>IFERROR(__xludf.DUMMYFUNCTION("""COMPUTED_VALUE"""),"Consumer")</f>
        <v>Consumer</v>
      </c>
      <c r="E467" s="14" t="str">
        <f>IFERROR(__xludf.DUMMYFUNCTION("""COMPUTED_VALUE"""),"Illinois")</f>
        <v>Illinois</v>
      </c>
      <c r="F467" s="14" t="str">
        <f>IFERROR(__xludf.DUMMYFUNCTION("""COMPUTED_VALUE"""),"Central")</f>
        <v>Central</v>
      </c>
      <c r="G467" s="14">
        <f>IFERROR(__xludf.DUMMYFUNCTION("""COMPUTED_VALUE"""),8.952)</f>
        <v>8.952</v>
      </c>
      <c r="H467" s="14">
        <f>IFERROR(__xludf.DUMMYFUNCTION("""COMPUTED_VALUE"""),2.0)</f>
        <v>2</v>
      </c>
      <c r="I467" s="14">
        <f>IFERROR(__xludf.DUMMYFUNCTION("""COMPUTED_VALUE"""),-14.7708)</f>
        <v>-14.7708</v>
      </c>
      <c r="J467" s="3"/>
      <c r="K467" s="21"/>
      <c r="L467" s="21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</row>
    <row r="468">
      <c r="A468" s="12"/>
      <c r="B468" s="14" t="str">
        <f>IFERROR(__xludf.DUMMYFUNCTION("""COMPUTED_VALUE"""),"CA-2014-109043")</f>
        <v>CA-2014-109043</v>
      </c>
      <c r="C468" s="22">
        <f>IFERROR(__xludf.DUMMYFUNCTION("""COMPUTED_VALUE"""),41866.0)</f>
        <v>41866</v>
      </c>
      <c r="D468" s="14" t="str">
        <f>IFERROR(__xludf.DUMMYFUNCTION("""COMPUTED_VALUE"""),"Consumer")</f>
        <v>Consumer</v>
      </c>
      <c r="E468" s="14" t="str">
        <f>IFERROR(__xludf.DUMMYFUNCTION("""COMPUTED_VALUE"""),"Florida")</f>
        <v>Florida</v>
      </c>
      <c r="F468" s="14" t="str">
        <f>IFERROR(__xludf.DUMMYFUNCTION("""COMPUTED_VALUE"""),"South")</f>
        <v>South</v>
      </c>
      <c r="G468" s="14">
        <f>IFERROR(__xludf.DUMMYFUNCTION("""COMPUTED_VALUE"""),91.36)</f>
        <v>91.36</v>
      </c>
      <c r="H468" s="14">
        <f>IFERROR(__xludf.DUMMYFUNCTION("""COMPUTED_VALUE"""),5.0)</f>
        <v>5</v>
      </c>
      <c r="I468" s="14">
        <f>IFERROR(__xludf.DUMMYFUNCTION("""COMPUTED_VALUE"""),29.692)</f>
        <v>29.692</v>
      </c>
      <c r="J468" s="3"/>
      <c r="K468" s="21"/>
      <c r="L468" s="21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</row>
    <row r="469">
      <c r="A469" s="12"/>
      <c r="B469" s="14" t="str">
        <f>IFERROR(__xludf.DUMMYFUNCTION("""COMPUTED_VALUE"""),"CA-2014-133389")</f>
        <v>CA-2014-133389</v>
      </c>
      <c r="C469" s="22">
        <f>IFERROR(__xludf.DUMMYFUNCTION("""COMPUTED_VALUE"""),41812.0)</f>
        <v>41812</v>
      </c>
      <c r="D469" s="14" t="str">
        <f>IFERROR(__xludf.DUMMYFUNCTION("""COMPUTED_VALUE"""),"Consumer")</f>
        <v>Consumer</v>
      </c>
      <c r="E469" s="14" t="str">
        <f>IFERROR(__xludf.DUMMYFUNCTION("""COMPUTED_VALUE"""),"Arizona")</f>
        <v>Arizona</v>
      </c>
      <c r="F469" s="14" t="str">
        <f>IFERROR(__xludf.DUMMYFUNCTION("""COMPUTED_VALUE"""),"West")</f>
        <v>West</v>
      </c>
      <c r="G469" s="14">
        <f>IFERROR(__xludf.DUMMYFUNCTION("""COMPUTED_VALUE"""),8.226)</f>
        <v>8.226</v>
      </c>
      <c r="H469" s="14">
        <f>IFERROR(__xludf.DUMMYFUNCTION("""COMPUTED_VALUE"""),3.0)</f>
        <v>3</v>
      </c>
      <c r="I469" s="14">
        <f>IFERROR(__xludf.DUMMYFUNCTION("""COMPUTED_VALUE"""),-6.0324)</f>
        <v>-6.0324</v>
      </c>
      <c r="J469" s="3"/>
      <c r="K469" s="21"/>
      <c r="L469" s="21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</row>
    <row r="470">
      <c r="A470" s="12"/>
      <c r="B470" s="14" t="str">
        <f>IFERROR(__xludf.DUMMYFUNCTION("""COMPUTED_VALUE"""),"CA-2014-100706")</f>
        <v>CA-2014-100706</v>
      </c>
      <c r="C470" s="23">
        <f>IFERROR(__xludf.DUMMYFUNCTION("""COMPUTED_VALUE"""),41989.0)</f>
        <v>41989</v>
      </c>
      <c r="D470" s="14" t="str">
        <f>IFERROR(__xludf.DUMMYFUNCTION("""COMPUTED_VALUE"""),"Consumer")</f>
        <v>Consumer</v>
      </c>
      <c r="E470" s="14" t="str">
        <f>IFERROR(__xludf.DUMMYFUNCTION("""COMPUTED_VALUE"""),"Virginia")</f>
        <v>Virginia</v>
      </c>
      <c r="F470" s="14" t="str">
        <f>IFERROR(__xludf.DUMMYFUNCTION("""COMPUTED_VALUE"""),"South")</f>
        <v>South</v>
      </c>
      <c r="G470" s="14">
        <f>IFERROR(__xludf.DUMMYFUNCTION("""COMPUTED_VALUE"""),99.98)</f>
        <v>99.98</v>
      </c>
      <c r="H470" s="14">
        <f>IFERROR(__xludf.DUMMYFUNCTION("""COMPUTED_VALUE"""),2.0)</f>
        <v>2</v>
      </c>
      <c r="I470" s="14">
        <f>IFERROR(__xludf.DUMMYFUNCTION("""COMPUTED_VALUE"""),7.9984)</f>
        <v>7.9984</v>
      </c>
      <c r="J470" s="3"/>
      <c r="K470" s="21"/>
      <c r="L470" s="21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</row>
    <row r="471">
      <c r="A471" s="12"/>
      <c r="B471" s="14" t="str">
        <f>IFERROR(__xludf.DUMMYFUNCTION("""COMPUTED_VALUE"""),"CA-2014-138198")</f>
        <v>CA-2014-138198</v>
      </c>
      <c r="C471" s="22">
        <f>IFERROR(__xludf.DUMMYFUNCTION("""COMPUTED_VALUE"""),41838.0)</f>
        <v>41838</v>
      </c>
      <c r="D471" s="14" t="str">
        <f>IFERROR(__xludf.DUMMYFUNCTION("""COMPUTED_VALUE"""),"Consumer")</f>
        <v>Consumer</v>
      </c>
      <c r="E471" s="14" t="str">
        <f>IFERROR(__xludf.DUMMYFUNCTION("""COMPUTED_VALUE"""),"New York")</f>
        <v>New York</v>
      </c>
      <c r="F471" s="14" t="str">
        <f>IFERROR(__xludf.DUMMYFUNCTION("""COMPUTED_VALUE"""),"East")</f>
        <v>East</v>
      </c>
      <c r="G471" s="14">
        <f>IFERROR(__xludf.DUMMYFUNCTION("""COMPUTED_VALUE"""),13.904)</f>
        <v>13.904</v>
      </c>
      <c r="H471" s="14">
        <f>IFERROR(__xludf.DUMMYFUNCTION("""COMPUTED_VALUE"""),2.0)</f>
        <v>2</v>
      </c>
      <c r="I471" s="14">
        <f>IFERROR(__xludf.DUMMYFUNCTION("""COMPUTED_VALUE"""),4.5188)</f>
        <v>4.5188</v>
      </c>
      <c r="J471" s="3"/>
      <c r="K471" s="21"/>
      <c r="L471" s="21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</row>
    <row r="472">
      <c r="A472" s="12"/>
      <c r="B472" s="14" t="str">
        <f>IFERROR(__xludf.DUMMYFUNCTION("""COMPUTED_VALUE"""),"CA-2014-152268")</f>
        <v>CA-2014-152268</v>
      </c>
      <c r="C472" s="22">
        <f>IFERROR(__xludf.DUMMYFUNCTION("""COMPUTED_VALUE"""),41884.0)</f>
        <v>41884</v>
      </c>
      <c r="D472" s="14" t="str">
        <f>IFERROR(__xludf.DUMMYFUNCTION("""COMPUTED_VALUE"""),"Consumer")</f>
        <v>Consumer</v>
      </c>
      <c r="E472" s="14" t="str">
        <f>IFERROR(__xludf.DUMMYFUNCTION("""COMPUTED_VALUE"""),"Arkansas")</f>
        <v>Arkansas</v>
      </c>
      <c r="F472" s="14" t="str">
        <f>IFERROR(__xludf.DUMMYFUNCTION("""COMPUTED_VALUE"""),"South")</f>
        <v>South</v>
      </c>
      <c r="G472" s="14">
        <f>IFERROR(__xludf.DUMMYFUNCTION("""COMPUTED_VALUE"""),1793.98)</f>
        <v>1793.98</v>
      </c>
      <c r="H472" s="14">
        <f>IFERROR(__xludf.DUMMYFUNCTION("""COMPUTED_VALUE"""),2.0)</f>
        <v>2</v>
      </c>
      <c r="I472" s="14">
        <f>IFERROR(__xludf.DUMMYFUNCTION("""COMPUTED_VALUE"""),843.1706)</f>
        <v>843.1706</v>
      </c>
      <c r="J472" s="3"/>
      <c r="K472" s="21"/>
      <c r="L472" s="21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</row>
    <row r="473">
      <c r="A473" s="12"/>
      <c r="B473" s="14" t="str">
        <f>IFERROR(__xludf.DUMMYFUNCTION("""COMPUTED_VALUE"""),"CA-2014-114335")</f>
        <v>CA-2014-114335</v>
      </c>
      <c r="C473" s="22">
        <f>IFERROR(__xludf.DUMMYFUNCTION("""COMPUTED_VALUE"""),41910.0)</f>
        <v>41910</v>
      </c>
      <c r="D473" s="14" t="str">
        <f>IFERROR(__xludf.DUMMYFUNCTION("""COMPUTED_VALUE"""),"Consumer")</f>
        <v>Consumer</v>
      </c>
      <c r="E473" s="14" t="str">
        <f>IFERROR(__xludf.DUMMYFUNCTION("""COMPUTED_VALUE"""),"Florida")</f>
        <v>Florida</v>
      </c>
      <c r="F473" s="14" t="str">
        <f>IFERROR(__xludf.DUMMYFUNCTION("""COMPUTED_VALUE"""),"South")</f>
        <v>South</v>
      </c>
      <c r="G473" s="14">
        <f>IFERROR(__xludf.DUMMYFUNCTION("""COMPUTED_VALUE"""),337.088)</f>
        <v>337.088</v>
      </c>
      <c r="H473" s="14">
        <f>IFERROR(__xludf.DUMMYFUNCTION("""COMPUTED_VALUE"""),4.0)</f>
        <v>4</v>
      </c>
      <c r="I473" s="14">
        <f>IFERROR(__xludf.DUMMYFUNCTION("""COMPUTED_VALUE"""),16.8544)</f>
        <v>16.8544</v>
      </c>
      <c r="J473" s="3"/>
      <c r="K473" s="21"/>
      <c r="L473" s="21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</row>
    <row r="474">
      <c r="A474" s="12"/>
      <c r="B474" s="14" t="str">
        <f>IFERROR(__xludf.DUMMYFUNCTION("""COMPUTED_VALUE"""),"US-2014-151015")</f>
        <v>US-2014-151015</v>
      </c>
      <c r="C474" s="23">
        <f>IFERROR(__xludf.DUMMYFUNCTION("""COMPUTED_VALUE"""),41926.0)</f>
        <v>41926</v>
      </c>
      <c r="D474" s="14" t="str">
        <f>IFERROR(__xludf.DUMMYFUNCTION("""COMPUTED_VALUE"""),"Consumer")</f>
        <v>Consumer</v>
      </c>
      <c r="E474" s="14" t="str">
        <f>IFERROR(__xludf.DUMMYFUNCTION("""COMPUTED_VALUE"""),"Illinois")</f>
        <v>Illinois</v>
      </c>
      <c r="F474" s="14" t="str">
        <f>IFERROR(__xludf.DUMMYFUNCTION("""COMPUTED_VALUE"""),"Central")</f>
        <v>Central</v>
      </c>
      <c r="G474" s="14">
        <f>IFERROR(__xludf.DUMMYFUNCTION("""COMPUTED_VALUE"""),322.192)</f>
        <v>322.192</v>
      </c>
      <c r="H474" s="14">
        <f>IFERROR(__xludf.DUMMYFUNCTION("""COMPUTED_VALUE"""),13.0)</f>
        <v>13</v>
      </c>
      <c r="I474" s="14">
        <f>IFERROR(__xludf.DUMMYFUNCTION("""COMPUTED_VALUE"""),100.685)</f>
        <v>100.685</v>
      </c>
      <c r="J474" s="3"/>
      <c r="K474" s="21"/>
      <c r="L474" s="21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</row>
    <row r="475">
      <c r="A475" s="12"/>
      <c r="B475" s="14" t="str">
        <f>IFERROR(__xludf.DUMMYFUNCTION("""COMPUTED_VALUE"""),"US-2014-158365")</f>
        <v>US-2014-158365</v>
      </c>
      <c r="C475" s="22">
        <f>IFERROR(__xludf.DUMMYFUNCTION("""COMPUTED_VALUE"""),41741.0)</f>
        <v>41741</v>
      </c>
      <c r="D475" s="14" t="str">
        <f>IFERROR(__xludf.DUMMYFUNCTION("""COMPUTED_VALUE"""),"Consumer")</f>
        <v>Consumer</v>
      </c>
      <c r="E475" s="14" t="str">
        <f>IFERROR(__xludf.DUMMYFUNCTION("""COMPUTED_VALUE"""),"Indiana")</f>
        <v>Indiana</v>
      </c>
      <c r="F475" s="14" t="str">
        <f>IFERROR(__xludf.DUMMYFUNCTION("""COMPUTED_VALUE"""),"Central")</f>
        <v>Central</v>
      </c>
      <c r="G475" s="14">
        <f>IFERROR(__xludf.DUMMYFUNCTION("""COMPUTED_VALUE"""),32.4)</f>
        <v>32.4</v>
      </c>
      <c r="H475" s="14">
        <f>IFERROR(__xludf.DUMMYFUNCTION("""COMPUTED_VALUE"""),5.0)</f>
        <v>5</v>
      </c>
      <c r="I475" s="14">
        <f>IFERROR(__xludf.DUMMYFUNCTION("""COMPUTED_VALUE"""),15.552)</f>
        <v>15.552</v>
      </c>
      <c r="J475" s="3"/>
      <c r="K475" s="21"/>
      <c r="L475" s="21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</row>
    <row r="476">
      <c r="A476" s="12"/>
      <c r="B476" s="14" t="str">
        <f>IFERROR(__xludf.DUMMYFUNCTION("""COMPUTED_VALUE"""),"CA-2014-123400")</f>
        <v>CA-2014-123400</v>
      </c>
      <c r="C476" s="22">
        <f>IFERROR(__xludf.DUMMYFUNCTION("""COMPUTED_VALUE"""),41672.0)</f>
        <v>41672</v>
      </c>
      <c r="D476" s="14" t="str">
        <f>IFERROR(__xludf.DUMMYFUNCTION("""COMPUTED_VALUE"""),"Consumer")</f>
        <v>Consumer</v>
      </c>
      <c r="E476" s="14" t="str">
        <f>IFERROR(__xludf.DUMMYFUNCTION("""COMPUTED_VALUE"""),"Florida")</f>
        <v>Florida</v>
      </c>
      <c r="F476" s="14" t="str">
        <f>IFERROR(__xludf.DUMMYFUNCTION("""COMPUTED_VALUE"""),"South")</f>
        <v>South</v>
      </c>
      <c r="G476" s="14">
        <f>IFERROR(__xludf.DUMMYFUNCTION("""COMPUTED_VALUE"""),18.336)</f>
        <v>18.336</v>
      </c>
      <c r="H476" s="14">
        <f>IFERROR(__xludf.DUMMYFUNCTION("""COMPUTED_VALUE"""),2.0)</f>
        <v>2</v>
      </c>
      <c r="I476" s="14">
        <f>IFERROR(__xludf.DUMMYFUNCTION("""COMPUTED_VALUE"""),-12.224)</f>
        <v>-12.224</v>
      </c>
      <c r="J476" s="3"/>
      <c r="K476" s="21"/>
      <c r="L476" s="21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</row>
    <row r="477">
      <c r="A477" s="12"/>
      <c r="B477" s="14" t="str">
        <f>IFERROR(__xludf.DUMMYFUNCTION("""COMPUTED_VALUE"""),"CA-2014-106971")</f>
        <v>CA-2014-106971</v>
      </c>
      <c r="C477" s="22">
        <f>IFERROR(__xludf.DUMMYFUNCTION("""COMPUTED_VALUE"""),41884.0)</f>
        <v>41884</v>
      </c>
      <c r="D477" s="14" t="str">
        <f>IFERROR(__xludf.DUMMYFUNCTION("""COMPUTED_VALUE"""),"Consumer")</f>
        <v>Consumer</v>
      </c>
      <c r="E477" s="14" t="str">
        <f>IFERROR(__xludf.DUMMYFUNCTION("""COMPUTED_VALUE"""),"Illinois")</f>
        <v>Illinois</v>
      </c>
      <c r="F477" s="14" t="str">
        <f>IFERROR(__xludf.DUMMYFUNCTION("""COMPUTED_VALUE"""),"Central")</f>
        <v>Central</v>
      </c>
      <c r="G477" s="14">
        <f>IFERROR(__xludf.DUMMYFUNCTION("""COMPUTED_VALUE"""),475.944)</f>
        <v>475.944</v>
      </c>
      <c r="H477" s="14">
        <f>IFERROR(__xludf.DUMMYFUNCTION("""COMPUTED_VALUE"""),7.0)</f>
        <v>7</v>
      </c>
      <c r="I477" s="14">
        <f>IFERROR(__xludf.DUMMYFUNCTION("""COMPUTED_VALUE"""),95.1888)</f>
        <v>95.1888</v>
      </c>
      <c r="J477" s="3"/>
      <c r="K477" s="21"/>
      <c r="L477" s="21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</row>
    <row r="478">
      <c r="A478" s="12"/>
      <c r="B478" s="14" t="str">
        <f>IFERROR(__xludf.DUMMYFUNCTION("""COMPUTED_VALUE"""),"CA-2014-102645")</f>
        <v>CA-2014-102645</v>
      </c>
      <c r="C478" s="22">
        <f>IFERROR(__xludf.DUMMYFUNCTION("""COMPUTED_VALUE"""),41662.0)</f>
        <v>41662</v>
      </c>
      <c r="D478" s="14" t="str">
        <f>IFERROR(__xludf.DUMMYFUNCTION("""COMPUTED_VALUE"""),"Consumer")</f>
        <v>Consumer</v>
      </c>
      <c r="E478" s="14" t="str">
        <f>IFERROR(__xludf.DUMMYFUNCTION("""COMPUTED_VALUE"""),"Nevada")</f>
        <v>Nevada</v>
      </c>
      <c r="F478" s="14" t="str">
        <f>IFERROR(__xludf.DUMMYFUNCTION("""COMPUTED_VALUE"""),"West")</f>
        <v>West</v>
      </c>
      <c r="G478" s="14">
        <f>IFERROR(__xludf.DUMMYFUNCTION("""COMPUTED_VALUE"""),40.08)</f>
        <v>40.08</v>
      </c>
      <c r="H478" s="14">
        <f>IFERROR(__xludf.DUMMYFUNCTION("""COMPUTED_VALUE"""),6.0)</f>
        <v>6</v>
      </c>
      <c r="I478" s="14">
        <f>IFERROR(__xludf.DUMMYFUNCTION("""COMPUTED_VALUE"""),19.2384)</f>
        <v>19.2384</v>
      </c>
      <c r="J478" s="3"/>
      <c r="K478" s="21"/>
      <c r="L478" s="21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</row>
    <row r="479">
      <c r="A479" s="12"/>
      <c r="B479" s="14" t="str">
        <f>IFERROR(__xludf.DUMMYFUNCTION("""COMPUTED_VALUE"""),"CA-2014-146843")</f>
        <v>CA-2014-146843</v>
      </c>
      <c r="C479" s="23">
        <f>IFERROR(__xludf.DUMMYFUNCTION("""COMPUTED_VALUE"""),41973.0)</f>
        <v>41973</v>
      </c>
      <c r="D479" s="14" t="str">
        <f>IFERROR(__xludf.DUMMYFUNCTION("""COMPUTED_VALUE"""),"Consumer")</f>
        <v>Consumer</v>
      </c>
      <c r="E479" s="14" t="str">
        <f>IFERROR(__xludf.DUMMYFUNCTION("""COMPUTED_VALUE"""),"Arizona")</f>
        <v>Arizona</v>
      </c>
      <c r="F479" s="14" t="str">
        <f>IFERROR(__xludf.DUMMYFUNCTION("""COMPUTED_VALUE"""),"West")</f>
        <v>West</v>
      </c>
      <c r="G479" s="14">
        <f>IFERROR(__xludf.DUMMYFUNCTION("""COMPUTED_VALUE"""),47.992)</f>
        <v>47.992</v>
      </c>
      <c r="H479" s="14">
        <f>IFERROR(__xludf.DUMMYFUNCTION("""COMPUTED_VALUE"""),7.0)</f>
        <v>7</v>
      </c>
      <c r="I479" s="14">
        <f>IFERROR(__xludf.DUMMYFUNCTION("""COMPUTED_VALUE"""),3.5994)</f>
        <v>3.5994</v>
      </c>
      <c r="J479" s="3"/>
      <c r="K479" s="21"/>
      <c r="L479" s="21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</row>
    <row r="480">
      <c r="A480" s="12"/>
      <c r="B480" s="14" t="str">
        <f>IFERROR(__xludf.DUMMYFUNCTION("""COMPUTED_VALUE"""),"CA-2014-103310")</f>
        <v>CA-2014-103310</v>
      </c>
      <c r="C480" s="22">
        <f>IFERROR(__xludf.DUMMYFUNCTION("""COMPUTED_VALUE"""),41769.0)</f>
        <v>41769</v>
      </c>
      <c r="D480" s="14" t="str">
        <f>IFERROR(__xludf.DUMMYFUNCTION("""COMPUTED_VALUE"""),"Consumer")</f>
        <v>Consumer</v>
      </c>
      <c r="E480" s="14" t="str">
        <f>IFERROR(__xludf.DUMMYFUNCTION("""COMPUTED_VALUE"""),"California")</f>
        <v>California</v>
      </c>
      <c r="F480" s="14" t="str">
        <f>IFERROR(__xludf.DUMMYFUNCTION("""COMPUTED_VALUE"""),"West")</f>
        <v>West</v>
      </c>
      <c r="G480" s="14">
        <f>IFERROR(__xludf.DUMMYFUNCTION("""COMPUTED_VALUE"""),39.96)</f>
        <v>39.96</v>
      </c>
      <c r="H480" s="14">
        <f>IFERROR(__xludf.DUMMYFUNCTION("""COMPUTED_VALUE"""),2.0)</f>
        <v>2</v>
      </c>
      <c r="I480" s="14">
        <f>IFERROR(__xludf.DUMMYFUNCTION("""COMPUTED_VALUE"""),19.1808)</f>
        <v>19.1808</v>
      </c>
      <c r="J480" s="3"/>
      <c r="K480" s="21"/>
      <c r="L480" s="21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</row>
    <row r="481">
      <c r="A481" s="12"/>
      <c r="B481" s="14" t="str">
        <f>IFERROR(__xludf.DUMMYFUNCTION("""COMPUTED_VALUE"""),"CA-2014-148383")</f>
        <v>CA-2014-148383</v>
      </c>
      <c r="C481" s="23">
        <f>IFERROR(__xludf.DUMMYFUNCTION("""COMPUTED_VALUE"""),42000.0)</f>
        <v>42000</v>
      </c>
      <c r="D481" s="14" t="str">
        <f>IFERROR(__xludf.DUMMYFUNCTION("""COMPUTED_VALUE"""),"Consumer")</f>
        <v>Consumer</v>
      </c>
      <c r="E481" s="14" t="str">
        <f>IFERROR(__xludf.DUMMYFUNCTION("""COMPUTED_VALUE"""),"Arizona")</f>
        <v>Arizona</v>
      </c>
      <c r="F481" s="14" t="str">
        <f>IFERROR(__xludf.DUMMYFUNCTION("""COMPUTED_VALUE"""),"West")</f>
        <v>West</v>
      </c>
      <c r="G481" s="14">
        <f>IFERROR(__xludf.DUMMYFUNCTION("""COMPUTED_VALUE"""),946.764)</f>
        <v>946.764</v>
      </c>
      <c r="H481" s="14">
        <f>IFERROR(__xludf.DUMMYFUNCTION("""COMPUTED_VALUE"""),6.0)</f>
        <v>6</v>
      </c>
      <c r="I481" s="14">
        <f>IFERROR(__xludf.DUMMYFUNCTION("""COMPUTED_VALUE"""),-694.2936)</f>
        <v>-694.2936</v>
      </c>
      <c r="J481" s="3"/>
      <c r="K481" s="21"/>
      <c r="L481" s="21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</row>
    <row r="482">
      <c r="A482" s="12"/>
      <c r="B482" s="14" t="str">
        <f>IFERROR(__xludf.DUMMYFUNCTION("""COMPUTED_VALUE"""),"CA-2014-168368")</f>
        <v>CA-2014-168368</v>
      </c>
      <c r="C482" s="22">
        <f>IFERROR(__xludf.DUMMYFUNCTION("""COMPUTED_VALUE"""),41681.0)</f>
        <v>41681</v>
      </c>
      <c r="D482" s="14" t="str">
        <f>IFERROR(__xludf.DUMMYFUNCTION("""COMPUTED_VALUE"""),"Consumer")</f>
        <v>Consumer</v>
      </c>
      <c r="E482" s="14" t="str">
        <f>IFERROR(__xludf.DUMMYFUNCTION("""COMPUTED_VALUE"""),"Missouri")</f>
        <v>Missouri</v>
      </c>
      <c r="F482" s="14" t="str">
        <f>IFERROR(__xludf.DUMMYFUNCTION("""COMPUTED_VALUE"""),"Central")</f>
        <v>Central</v>
      </c>
      <c r="G482" s="14">
        <f>IFERROR(__xludf.DUMMYFUNCTION("""COMPUTED_VALUE"""),60.89)</f>
        <v>60.89</v>
      </c>
      <c r="H482" s="14">
        <f>IFERROR(__xludf.DUMMYFUNCTION("""COMPUTED_VALUE"""),1.0)</f>
        <v>1</v>
      </c>
      <c r="I482" s="14">
        <f>IFERROR(__xludf.DUMMYFUNCTION("""COMPUTED_VALUE"""),15.2225)</f>
        <v>15.2225</v>
      </c>
      <c r="J482" s="3"/>
      <c r="K482" s="21"/>
      <c r="L482" s="21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</row>
    <row r="483">
      <c r="A483" s="12"/>
      <c r="B483" s="14" t="str">
        <f>IFERROR(__xludf.DUMMYFUNCTION("""COMPUTED_VALUE"""),"CA-2014-163650")</f>
        <v>CA-2014-163650</v>
      </c>
      <c r="C483" s="22">
        <f>IFERROR(__xludf.DUMMYFUNCTION("""COMPUTED_VALUE"""),41905.0)</f>
        <v>41905</v>
      </c>
      <c r="D483" s="14" t="str">
        <f>IFERROR(__xludf.DUMMYFUNCTION("""COMPUTED_VALUE"""),"Consumer")</f>
        <v>Consumer</v>
      </c>
      <c r="E483" s="14" t="str">
        <f>IFERROR(__xludf.DUMMYFUNCTION("""COMPUTED_VALUE"""),"Delaware")</f>
        <v>Delaware</v>
      </c>
      <c r="F483" s="14" t="str">
        <f>IFERROR(__xludf.DUMMYFUNCTION("""COMPUTED_VALUE"""),"East")</f>
        <v>East</v>
      </c>
      <c r="G483" s="14">
        <f>IFERROR(__xludf.DUMMYFUNCTION("""COMPUTED_VALUE"""),9.84)</f>
        <v>9.84</v>
      </c>
      <c r="H483" s="14">
        <f>IFERROR(__xludf.DUMMYFUNCTION("""COMPUTED_VALUE"""),3.0)</f>
        <v>3</v>
      </c>
      <c r="I483" s="14">
        <f>IFERROR(__xludf.DUMMYFUNCTION("""COMPUTED_VALUE"""),2.8536)</f>
        <v>2.8536</v>
      </c>
      <c r="J483" s="3"/>
      <c r="K483" s="21"/>
      <c r="L483" s="21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</row>
    <row r="484">
      <c r="A484" s="12"/>
      <c r="B484" s="14" t="str">
        <f>IFERROR(__xludf.DUMMYFUNCTION("""COMPUTED_VALUE"""),"CA-2014-128237")</f>
        <v>CA-2014-128237</v>
      </c>
      <c r="C484" s="22">
        <f>IFERROR(__xludf.DUMMYFUNCTION("""COMPUTED_VALUE"""),41723.0)</f>
        <v>41723</v>
      </c>
      <c r="D484" s="14" t="str">
        <f>IFERROR(__xludf.DUMMYFUNCTION("""COMPUTED_VALUE"""),"Consumer")</f>
        <v>Consumer</v>
      </c>
      <c r="E484" s="14" t="str">
        <f>IFERROR(__xludf.DUMMYFUNCTION("""COMPUTED_VALUE"""),"California")</f>
        <v>California</v>
      </c>
      <c r="F484" s="14" t="str">
        <f>IFERROR(__xludf.DUMMYFUNCTION("""COMPUTED_VALUE"""),"West")</f>
        <v>West</v>
      </c>
      <c r="G484" s="14">
        <f>IFERROR(__xludf.DUMMYFUNCTION("""COMPUTED_VALUE"""),6.56)</f>
        <v>6.56</v>
      </c>
      <c r="H484" s="14">
        <f>IFERROR(__xludf.DUMMYFUNCTION("""COMPUTED_VALUE"""),2.0)</f>
        <v>2</v>
      </c>
      <c r="I484" s="14">
        <f>IFERROR(__xludf.DUMMYFUNCTION("""COMPUTED_VALUE"""),1.9024)</f>
        <v>1.9024</v>
      </c>
      <c r="J484" s="3"/>
      <c r="K484" s="21"/>
      <c r="L484" s="21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</row>
    <row r="485">
      <c r="A485" s="12"/>
      <c r="B485" s="14" t="str">
        <f>IFERROR(__xludf.DUMMYFUNCTION("""COMPUTED_VALUE"""),"US-2014-166828")</f>
        <v>US-2014-166828</v>
      </c>
      <c r="C485" s="22">
        <f>IFERROR(__xludf.DUMMYFUNCTION("""COMPUTED_VALUE"""),41873.0)</f>
        <v>41873</v>
      </c>
      <c r="D485" s="14" t="str">
        <f>IFERROR(__xludf.DUMMYFUNCTION("""COMPUTED_VALUE"""),"Consumer")</f>
        <v>Consumer</v>
      </c>
      <c r="E485" s="14" t="str">
        <f>IFERROR(__xludf.DUMMYFUNCTION("""COMPUTED_VALUE"""),"Missouri")</f>
        <v>Missouri</v>
      </c>
      <c r="F485" s="14" t="str">
        <f>IFERROR(__xludf.DUMMYFUNCTION("""COMPUTED_VALUE"""),"Central")</f>
        <v>Central</v>
      </c>
      <c r="G485" s="14">
        <f>IFERROR(__xludf.DUMMYFUNCTION("""COMPUTED_VALUE"""),11.56)</f>
        <v>11.56</v>
      </c>
      <c r="H485" s="14">
        <f>IFERROR(__xludf.DUMMYFUNCTION("""COMPUTED_VALUE"""),2.0)</f>
        <v>2</v>
      </c>
      <c r="I485" s="14">
        <f>IFERROR(__xludf.DUMMYFUNCTION("""COMPUTED_VALUE"""),5.6644)</f>
        <v>5.6644</v>
      </c>
      <c r="J485" s="3"/>
      <c r="K485" s="21"/>
      <c r="L485" s="21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</row>
    <row r="486">
      <c r="A486" s="12"/>
      <c r="B486" s="14" t="str">
        <f>IFERROR(__xludf.DUMMYFUNCTION("""COMPUTED_VALUE"""),"CA-2014-108147")</f>
        <v>CA-2014-108147</v>
      </c>
      <c r="C486" s="22">
        <f>IFERROR(__xludf.DUMMYFUNCTION("""COMPUTED_VALUE"""),41798.0)</f>
        <v>41798</v>
      </c>
      <c r="D486" s="14" t="str">
        <f>IFERROR(__xludf.DUMMYFUNCTION("""COMPUTED_VALUE"""),"Consumer")</f>
        <v>Consumer</v>
      </c>
      <c r="E486" s="14" t="str">
        <f>IFERROR(__xludf.DUMMYFUNCTION("""COMPUTED_VALUE"""),"New York")</f>
        <v>New York</v>
      </c>
      <c r="F486" s="14" t="str">
        <f>IFERROR(__xludf.DUMMYFUNCTION("""COMPUTED_VALUE"""),"East")</f>
        <v>East</v>
      </c>
      <c r="G486" s="14">
        <f>IFERROR(__xludf.DUMMYFUNCTION("""COMPUTED_VALUE"""),68.48)</f>
        <v>68.48</v>
      </c>
      <c r="H486" s="14">
        <f>IFERROR(__xludf.DUMMYFUNCTION("""COMPUTED_VALUE"""),2.0)</f>
        <v>2</v>
      </c>
      <c r="I486" s="14">
        <f>IFERROR(__xludf.DUMMYFUNCTION("""COMPUTED_VALUE"""),25.68)</f>
        <v>25.68</v>
      </c>
      <c r="J486" s="3"/>
      <c r="K486" s="21"/>
      <c r="L486" s="21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</row>
    <row r="487">
      <c r="A487" s="12"/>
      <c r="B487" s="14" t="str">
        <f>IFERROR(__xludf.DUMMYFUNCTION("""COMPUTED_VALUE"""),"CA-2014-154158")</f>
        <v>CA-2014-154158</v>
      </c>
      <c r="C487" s="23">
        <f>IFERROR(__xludf.DUMMYFUNCTION("""COMPUTED_VALUE"""),41996.0)</f>
        <v>41996</v>
      </c>
      <c r="D487" s="14" t="str">
        <f>IFERROR(__xludf.DUMMYFUNCTION("""COMPUTED_VALUE"""),"Consumer")</f>
        <v>Consumer</v>
      </c>
      <c r="E487" s="14" t="str">
        <f>IFERROR(__xludf.DUMMYFUNCTION("""COMPUTED_VALUE"""),"Florida")</f>
        <v>Florida</v>
      </c>
      <c r="F487" s="14" t="str">
        <f>IFERROR(__xludf.DUMMYFUNCTION("""COMPUTED_VALUE"""),"South")</f>
        <v>South</v>
      </c>
      <c r="G487" s="14">
        <f>IFERROR(__xludf.DUMMYFUNCTION("""COMPUTED_VALUE"""),45.528)</f>
        <v>45.528</v>
      </c>
      <c r="H487" s="14">
        <f>IFERROR(__xludf.DUMMYFUNCTION("""COMPUTED_VALUE"""),3.0)</f>
        <v>3</v>
      </c>
      <c r="I487" s="14">
        <f>IFERROR(__xludf.DUMMYFUNCTION("""COMPUTED_VALUE"""),15.9348)</f>
        <v>15.9348</v>
      </c>
      <c r="J487" s="3"/>
      <c r="K487" s="21"/>
      <c r="L487" s="21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</row>
    <row r="488">
      <c r="A488" s="12"/>
      <c r="B488" s="14" t="str">
        <f>IFERROR(__xludf.DUMMYFUNCTION("""COMPUTED_VALUE"""),"CA-2014-125997")</f>
        <v>CA-2014-125997</v>
      </c>
      <c r="C488" s="22">
        <f>IFERROR(__xludf.DUMMYFUNCTION("""COMPUTED_VALUE"""),41902.0)</f>
        <v>41902</v>
      </c>
      <c r="D488" s="14" t="str">
        <f>IFERROR(__xludf.DUMMYFUNCTION("""COMPUTED_VALUE"""),"Consumer")</f>
        <v>Consumer</v>
      </c>
      <c r="E488" s="14" t="str">
        <f>IFERROR(__xludf.DUMMYFUNCTION("""COMPUTED_VALUE"""),"New York")</f>
        <v>New York</v>
      </c>
      <c r="F488" s="14" t="str">
        <f>IFERROR(__xludf.DUMMYFUNCTION("""COMPUTED_VALUE"""),"East")</f>
        <v>East</v>
      </c>
      <c r="G488" s="14">
        <f>IFERROR(__xludf.DUMMYFUNCTION("""COMPUTED_VALUE"""),629.95)</f>
        <v>629.95</v>
      </c>
      <c r="H488" s="14">
        <f>IFERROR(__xludf.DUMMYFUNCTION("""COMPUTED_VALUE"""),5.0)</f>
        <v>5</v>
      </c>
      <c r="I488" s="14">
        <f>IFERROR(__xludf.DUMMYFUNCTION("""COMPUTED_VALUE"""),157.4875)</f>
        <v>157.4875</v>
      </c>
      <c r="J488" s="3"/>
      <c r="K488" s="21"/>
      <c r="L488" s="21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</row>
    <row r="489">
      <c r="A489" s="12"/>
      <c r="B489" s="14" t="str">
        <f>IFERROR(__xludf.DUMMYFUNCTION("""COMPUTED_VALUE"""),"CA-2014-159814")</f>
        <v>CA-2014-159814</v>
      </c>
      <c r="C489" s="22">
        <f>IFERROR(__xludf.DUMMYFUNCTION("""COMPUTED_VALUE"""),41814.0)</f>
        <v>41814</v>
      </c>
      <c r="D489" s="14" t="str">
        <f>IFERROR(__xludf.DUMMYFUNCTION("""COMPUTED_VALUE"""),"Consumer")</f>
        <v>Consumer</v>
      </c>
      <c r="E489" s="14" t="str">
        <f>IFERROR(__xludf.DUMMYFUNCTION("""COMPUTED_VALUE"""),"Arizona")</f>
        <v>Arizona</v>
      </c>
      <c r="F489" s="14" t="str">
        <f>IFERROR(__xludf.DUMMYFUNCTION("""COMPUTED_VALUE"""),"West")</f>
        <v>West</v>
      </c>
      <c r="G489" s="14">
        <f>IFERROR(__xludf.DUMMYFUNCTION("""COMPUTED_VALUE"""),4.272)</f>
        <v>4.272</v>
      </c>
      <c r="H489" s="14">
        <f>IFERROR(__xludf.DUMMYFUNCTION("""COMPUTED_VALUE"""),2.0)</f>
        <v>2</v>
      </c>
      <c r="I489" s="14">
        <f>IFERROR(__xludf.DUMMYFUNCTION("""COMPUTED_VALUE"""),0.9612)</f>
        <v>0.9612</v>
      </c>
      <c r="J489" s="3"/>
      <c r="K489" s="21"/>
      <c r="L489" s="21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</row>
    <row r="490">
      <c r="A490" s="12"/>
      <c r="B490" s="14" t="str">
        <f>IFERROR(__xludf.DUMMYFUNCTION("""COMPUTED_VALUE"""),"CA-2014-116246")</f>
        <v>CA-2014-116246</v>
      </c>
      <c r="C490" s="22">
        <f>IFERROR(__xludf.DUMMYFUNCTION("""COMPUTED_VALUE"""),41894.0)</f>
        <v>41894</v>
      </c>
      <c r="D490" s="14" t="str">
        <f>IFERROR(__xludf.DUMMYFUNCTION("""COMPUTED_VALUE"""),"Consumer")</f>
        <v>Consumer</v>
      </c>
      <c r="E490" s="14" t="str">
        <f>IFERROR(__xludf.DUMMYFUNCTION("""COMPUTED_VALUE"""),"New York")</f>
        <v>New York</v>
      </c>
      <c r="F490" s="14" t="str">
        <f>IFERROR(__xludf.DUMMYFUNCTION("""COMPUTED_VALUE"""),"East")</f>
        <v>East</v>
      </c>
      <c r="G490" s="14">
        <f>IFERROR(__xludf.DUMMYFUNCTION("""COMPUTED_VALUE"""),3785.292)</f>
        <v>3785.292</v>
      </c>
      <c r="H490" s="14">
        <f>IFERROR(__xludf.DUMMYFUNCTION("""COMPUTED_VALUE"""),6.0)</f>
        <v>6</v>
      </c>
      <c r="I490" s="14">
        <f>IFERROR(__xludf.DUMMYFUNCTION("""COMPUTED_VALUE"""),420.588)</f>
        <v>420.588</v>
      </c>
      <c r="J490" s="3"/>
      <c r="K490" s="21"/>
      <c r="L490" s="21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</row>
    <row r="491">
      <c r="A491" s="12"/>
      <c r="B491" s="14" t="str">
        <f>IFERROR(__xludf.DUMMYFUNCTION("""COMPUTED_VALUE"""),"CA-2014-100391")</f>
        <v>CA-2014-100391</v>
      </c>
      <c r="C491" s="22">
        <f>IFERROR(__xludf.DUMMYFUNCTION("""COMPUTED_VALUE"""),41784.0)</f>
        <v>41784</v>
      </c>
      <c r="D491" s="14" t="str">
        <f>IFERROR(__xludf.DUMMYFUNCTION("""COMPUTED_VALUE"""),"Consumer")</f>
        <v>Consumer</v>
      </c>
      <c r="E491" s="14" t="str">
        <f>IFERROR(__xludf.DUMMYFUNCTION("""COMPUTED_VALUE"""),"New York")</f>
        <v>New York</v>
      </c>
      <c r="F491" s="14" t="str">
        <f>IFERROR(__xludf.DUMMYFUNCTION("""COMPUTED_VALUE"""),"East")</f>
        <v>East</v>
      </c>
      <c r="G491" s="14">
        <f>IFERROR(__xludf.DUMMYFUNCTION("""COMPUTED_VALUE"""),14.62)</f>
        <v>14.62</v>
      </c>
      <c r="H491" s="14">
        <f>IFERROR(__xludf.DUMMYFUNCTION("""COMPUTED_VALUE"""),2.0)</f>
        <v>2</v>
      </c>
      <c r="I491" s="14">
        <f>IFERROR(__xludf.DUMMYFUNCTION("""COMPUTED_VALUE"""),6.7252)</f>
        <v>6.7252</v>
      </c>
      <c r="J491" s="3"/>
      <c r="K491" s="21"/>
      <c r="L491" s="21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</row>
    <row r="492">
      <c r="A492" s="12"/>
      <c r="B492" s="14" t="str">
        <f>IFERROR(__xludf.DUMMYFUNCTION("""COMPUTED_VALUE"""),"CA-2014-165477")</f>
        <v>CA-2014-165477</v>
      </c>
      <c r="C492" s="23">
        <f>IFERROR(__xludf.DUMMYFUNCTION("""COMPUTED_VALUE"""),42002.0)</f>
        <v>42002</v>
      </c>
      <c r="D492" s="14" t="str">
        <f>IFERROR(__xludf.DUMMYFUNCTION("""COMPUTED_VALUE"""),"Consumer")</f>
        <v>Consumer</v>
      </c>
      <c r="E492" s="14" t="str">
        <f>IFERROR(__xludf.DUMMYFUNCTION("""COMPUTED_VALUE"""),"Ohio")</f>
        <v>Ohio</v>
      </c>
      <c r="F492" s="14" t="str">
        <f>IFERROR(__xludf.DUMMYFUNCTION("""COMPUTED_VALUE"""),"East")</f>
        <v>East</v>
      </c>
      <c r="G492" s="14">
        <f>IFERROR(__xludf.DUMMYFUNCTION("""COMPUTED_VALUE"""),48.36)</f>
        <v>48.36</v>
      </c>
      <c r="H492" s="14">
        <f>IFERROR(__xludf.DUMMYFUNCTION("""COMPUTED_VALUE"""),5.0)</f>
        <v>5</v>
      </c>
      <c r="I492" s="14">
        <f>IFERROR(__xludf.DUMMYFUNCTION("""COMPUTED_VALUE"""),6.045)</f>
        <v>6.045</v>
      </c>
      <c r="J492" s="3"/>
      <c r="K492" s="21"/>
      <c r="L492" s="21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</row>
    <row r="493">
      <c r="A493" s="12"/>
      <c r="B493" s="14" t="str">
        <f>IFERROR(__xludf.DUMMYFUNCTION("""COMPUTED_VALUE"""),"CA-2014-140032")</f>
        <v>CA-2014-140032</v>
      </c>
      <c r="C493" s="22">
        <f>IFERROR(__xludf.DUMMYFUNCTION("""COMPUTED_VALUE"""),41890.0)</f>
        <v>41890</v>
      </c>
      <c r="D493" s="14" t="str">
        <f>IFERROR(__xludf.DUMMYFUNCTION("""COMPUTED_VALUE"""),"Consumer")</f>
        <v>Consumer</v>
      </c>
      <c r="E493" s="14" t="str">
        <f>IFERROR(__xludf.DUMMYFUNCTION("""COMPUTED_VALUE"""),"California")</f>
        <v>California</v>
      </c>
      <c r="F493" s="14" t="str">
        <f>IFERROR(__xludf.DUMMYFUNCTION("""COMPUTED_VALUE"""),"West")</f>
        <v>West</v>
      </c>
      <c r="G493" s="14">
        <f>IFERROR(__xludf.DUMMYFUNCTION("""COMPUTED_VALUE"""),8.608)</f>
        <v>8.608</v>
      </c>
      <c r="H493" s="14">
        <f>IFERROR(__xludf.DUMMYFUNCTION("""COMPUTED_VALUE"""),2.0)</f>
        <v>2</v>
      </c>
      <c r="I493" s="14">
        <f>IFERROR(__xludf.DUMMYFUNCTION("""COMPUTED_VALUE"""),3.0128)</f>
        <v>3.0128</v>
      </c>
      <c r="J493" s="3"/>
      <c r="K493" s="21"/>
      <c r="L493" s="21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</row>
    <row r="494">
      <c r="A494" s="12"/>
      <c r="B494" s="14" t="str">
        <f>IFERROR(__xludf.DUMMYFUNCTION("""COMPUTED_VALUE"""),"CA-2014-138240")</f>
        <v>CA-2014-138240</v>
      </c>
      <c r="C494" s="22">
        <f>IFERROR(__xludf.DUMMYFUNCTION("""COMPUTED_VALUE"""),41921.0)</f>
        <v>41921</v>
      </c>
      <c r="D494" s="14" t="str">
        <f>IFERROR(__xludf.DUMMYFUNCTION("""COMPUTED_VALUE"""),"Consumer")</f>
        <v>Consumer</v>
      </c>
      <c r="E494" s="14" t="str">
        <f>IFERROR(__xludf.DUMMYFUNCTION("""COMPUTED_VALUE"""),"California")</f>
        <v>California</v>
      </c>
      <c r="F494" s="14" t="str">
        <f>IFERROR(__xludf.DUMMYFUNCTION("""COMPUTED_VALUE"""),"West")</f>
        <v>West</v>
      </c>
      <c r="G494" s="14">
        <f>IFERROR(__xludf.DUMMYFUNCTION("""COMPUTED_VALUE"""),144.6)</f>
        <v>144.6</v>
      </c>
      <c r="H494" s="14">
        <f>IFERROR(__xludf.DUMMYFUNCTION("""COMPUTED_VALUE"""),3.0)</f>
        <v>3</v>
      </c>
      <c r="I494" s="14">
        <f>IFERROR(__xludf.DUMMYFUNCTION("""COMPUTED_VALUE"""),41.934)</f>
        <v>41.934</v>
      </c>
      <c r="J494" s="3"/>
      <c r="K494" s="21"/>
      <c r="L494" s="21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</row>
    <row r="495">
      <c r="A495" s="12"/>
      <c r="B495" s="14" t="str">
        <f>IFERROR(__xludf.DUMMYFUNCTION("""COMPUTED_VALUE"""),"CA-2014-156545")</f>
        <v>CA-2014-156545</v>
      </c>
      <c r="C495" s="22">
        <f>IFERROR(__xludf.DUMMYFUNCTION("""COMPUTED_VALUE"""),41697.0)</f>
        <v>41697</v>
      </c>
      <c r="D495" s="14" t="str">
        <f>IFERROR(__xludf.DUMMYFUNCTION("""COMPUTED_VALUE"""),"Consumer")</f>
        <v>Consumer</v>
      </c>
      <c r="E495" s="14" t="str">
        <f>IFERROR(__xludf.DUMMYFUNCTION("""COMPUTED_VALUE"""),"Ohio")</f>
        <v>Ohio</v>
      </c>
      <c r="F495" s="14" t="str">
        <f>IFERROR(__xludf.DUMMYFUNCTION("""COMPUTED_VALUE"""),"East")</f>
        <v>East</v>
      </c>
      <c r="G495" s="14">
        <f>IFERROR(__xludf.DUMMYFUNCTION("""COMPUTED_VALUE"""),19.456)</f>
        <v>19.456</v>
      </c>
      <c r="H495" s="14">
        <f>IFERROR(__xludf.DUMMYFUNCTION("""COMPUTED_VALUE"""),4.0)</f>
        <v>4</v>
      </c>
      <c r="I495" s="14">
        <f>IFERROR(__xludf.DUMMYFUNCTION("""COMPUTED_VALUE"""),3.4048)</f>
        <v>3.4048</v>
      </c>
      <c r="J495" s="3"/>
      <c r="K495" s="21"/>
      <c r="L495" s="21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</row>
    <row r="496">
      <c r="A496" s="12"/>
      <c r="B496" s="14" t="str">
        <f>IFERROR(__xludf.DUMMYFUNCTION("""COMPUTED_VALUE"""),"CA-2014-109127")</f>
        <v>CA-2014-109127</v>
      </c>
      <c r="C496" s="23">
        <f>IFERROR(__xludf.DUMMYFUNCTION("""COMPUTED_VALUE"""),41994.0)</f>
        <v>41994</v>
      </c>
      <c r="D496" s="14" t="str">
        <f>IFERROR(__xludf.DUMMYFUNCTION("""COMPUTED_VALUE"""),"Consumer")</f>
        <v>Consumer</v>
      </c>
      <c r="E496" s="14" t="str">
        <f>IFERROR(__xludf.DUMMYFUNCTION("""COMPUTED_VALUE"""),"Delaware")</f>
        <v>Delaware</v>
      </c>
      <c r="F496" s="14" t="str">
        <f>IFERROR(__xludf.DUMMYFUNCTION("""COMPUTED_VALUE"""),"East")</f>
        <v>East</v>
      </c>
      <c r="G496" s="14">
        <f>IFERROR(__xludf.DUMMYFUNCTION("""COMPUTED_VALUE"""),17.28)</f>
        <v>17.28</v>
      </c>
      <c r="H496" s="14">
        <f>IFERROR(__xludf.DUMMYFUNCTION("""COMPUTED_VALUE"""),6.0)</f>
        <v>6</v>
      </c>
      <c r="I496" s="14">
        <f>IFERROR(__xludf.DUMMYFUNCTION("""COMPUTED_VALUE"""),7.9488)</f>
        <v>7.9488</v>
      </c>
      <c r="J496" s="3"/>
      <c r="K496" s="21"/>
      <c r="L496" s="21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</row>
    <row r="497">
      <c r="A497" s="12"/>
      <c r="B497" s="14" t="str">
        <f>IFERROR(__xludf.DUMMYFUNCTION("""COMPUTED_VALUE"""),"CA-2014-126193")</f>
        <v>CA-2014-126193</v>
      </c>
      <c r="C497" s="22">
        <f>IFERROR(__xludf.DUMMYFUNCTION("""COMPUTED_VALUE"""),41889.0)</f>
        <v>41889</v>
      </c>
      <c r="D497" s="14" t="str">
        <f>IFERROR(__xludf.DUMMYFUNCTION("""COMPUTED_VALUE"""),"Consumer")</f>
        <v>Consumer</v>
      </c>
      <c r="E497" s="14" t="str">
        <f>IFERROR(__xludf.DUMMYFUNCTION("""COMPUTED_VALUE"""),"Illinois")</f>
        <v>Illinois</v>
      </c>
      <c r="F497" s="14" t="str">
        <f>IFERROR(__xludf.DUMMYFUNCTION("""COMPUTED_VALUE"""),"Central")</f>
        <v>Central</v>
      </c>
      <c r="G497" s="14">
        <f>IFERROR(__xludf.DUMMYFUNCTION("""COMPUTED_VALUE"""),13.16)</f>
        <v>13.16</v>
      </c>
      <c r="H497" s="14">
        <f>IFERROR(__xludf.DUMMYFUNCTION("""COMPUTED_VALUE"""),5.0)</f>
        <v>5</v>
      </c>
      <c r="I497" s="14">
        <f>IFERROR(__xludf.DUMMYFUNCTION("""COMPUTED_VALUE"""),4.1125)</f>
        <v>4.1125</v>
      </c>
      <c r="J497" s="3"/>
      <c r="K497" s="21"/>
      <c r="L497" s="21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</row>
    <row r="498">
      <c r="A498" s="12"/>
      <c r="B498" s="14" t="str">
        <f>IFERROR(__xludf.DUMMYFUNCTION("""COMPUTED_VALUE"""),"CA-2014-149104")</f>
        <v>CA-2014-149104</v>
      </c>
      <c r="C498" s="22">
        <f>IFERROR(__xludf.DUMMYFUNCTION("""COMPUTED_VALUE"""),41734.0)</f>
        <v>41734</v>
      </c>
      <c r="D498" s="14" t="str">
        <f>IFERROR(__xludf.DUMMYFUNCTION("""COMPUTED_VALUE"""),"Consumer")</f>
        <v>Consumer</v>
      </c>
      <c r="E498" s="14" t="str">
        <f>IFERROR(__xludf.DUMMYFUNCTION("""COMPUTED_VALUE"""),"Michigan")</f>
        <v>Michigan</v>
      </c>
      <c r="F498" s="14" t="str">
        <f>IFERROR(__xludf.DUMMYFUNCTION("""COMPUTED_VALUE"""),"Central")</f>
        <v>Central</v>
      </c>
      <c r="G498" s="14">
        <f>IFERROR(__xludf.DUMMYFUNCTION("""COMPUTED_VALUE"""),26.7)</f>
        <v>26.7</v>
      </c>
      <c r="H498" s="14">
        <f>IFERROR(__xludf.DUMMYFUNCTION("""COMPUTED_VALUE"""),2.0)</f>
        <v>2</v>
      </c>
      <c r="I498" s="14">
        <f>IFERROR(__xludf.DUMMYFUNCTION("""COMPUTED_VALUE"""),7.476)</f>
        <v>7.476</v>
      </c>
      <c r="J498" s="3"/>
      <c r="K498" s="21"/>
      <c r="L498" s="21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</row>
    <row r="499">
      <c r="A499" s="12"/>
      <c r="B499" s="14" t="str">
        <f>IFERROR(__xludf.DUMMYFUNCTION("""COMPUTED_VALUE"""),"CA-2014-154165")</f>
        <v>CA-2014-154165</v>
      </c>
      <c r="C499" s="22">
        <f>IFERROR(__xludf.DUMMYFUNCTION("""COMPUTED_VALUE"""),41687.0)</f>
        <v>41687</v>
      </c>
      <c r="D499" s="14" t="str">
        <f>IFERROR(__xludf.DUMMYFUNCTION("""COMPUTED_VALUE"""),"Consumer")</f>
        <v>Consumer</v>
      </c>
      <c r="E499" s="14" t="str">
        <f>IFERROR(__xludf.DUMMYFUNCTION("""COMPUTED_VALUE"""),"Illinois")</f>
        <v>Illinois</v>
      </c>
      <c r="F499" s="14" t="str">
        <f>IFERROR(__xludf.DUMMYFUNCTION("""COMPUTED_VALUE"""),"Central")</f>
        <v>Central</v>
      </c>
      <c r="G499" s="14">
        <f>IFERROR(__xludf.DUMMYFUNCTION("""COMPUTED_VALUE"""),54.208)</f>
        <v>54.208</v>
      </c>
      <c r="H499" s="14">
        <f>IFERROR(__xludf.DUMMYFUNCTION("""COMPUTED_VALUE"""),14.0)</f>
        <v>14</v>
      </c>
      <c r="I499" s="14">
        <f>IFERROR(__xludf.DUMMYFUNCTION("""COMPUTED_VALUE"""),8.8088)</f>
        <v>8.8088</v>
      </c>
      <c r="J499" s="3"/>
      <c r="K499" s="21"/>
      <c r="L499" s="21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</row>
    <row r="500">
      <c r="A500" s="12"/>
      <c r="B500" s="14" t="str">
        <f>IFERROR(__xludf.DUMMYFUNCTION("""COMPUTED_VALUE"""),"CA-2014-169446")</f>
        <v>CA-2014-169446</v>
      </c>
      <c r="C500" s="23">
        <f>IFERROR(__xludf.DUMMYFUNCTION("""COMPUTED_VALUE"""),41992.0)</f>
        <v>41992</v>
      </c>
      <c r="D500" s="14" t="str">
        <f>IFERROR(__xludf.DUMMYFUNCTION("""COMPUTED_VALUE"""),"Consumer")</f>
        <v>Consumer</v>
      </c>
      <c r="E500" s="14" t="str">
        <f>IFERROR(__xludf.DUMMYFUNCTION("""COMPUTED_VALUE"""),"Illinois")</f>
        <v>Illinois</v>
      </c>
      <c r="F500" s="14" t="str">
        <f>IFERROR(__xludf.DUMMYFUNCTION("""COMPUTED_VALUE"""),"Central")</f>
        <v>Central</v>
      </c>
      <c r="G500" s="14">
        <f>IFERROR(__xludf.DUMMYFUNCTION("""COMPUTED_VALUE"""),323.976)</f>
        <v>323.976</v>
      </c>
      <c r="H500" s="14">
        <f>IFERROR(__xludf.DUMMYFUNCTION("""COMPUTED_VALUE"""),3.0)</f>
        <v>3</v>
      </c>
      <c r="I500" s="14">
        <f>IFERROR(__xludf.DUMMYFUNCTION("""COMPUTED_VALUE"""),36.4473)</f>
        <v>36.4473</v>
      </c>
      <c r="J500" s="3"/>
      <c r="K500" s="21"/>
      <c r="L500" s="21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</row>
    <row r="501">
      <c r="A501" s="12"/>
      <c r="B501" s="14" t="str">
        <f>IFERROR(__xludf.DUMMYFUNCTION("""COMPUTED_VALUE"""),"CA-2014-103086")</f>
        <v>CA-2014-103086</v>
      </c>
      <c r="C501" s="23">
        <f>IFERROR(__xludf.DUMMYFUNCTION("""COMPUTED_VALUE"""),41929.0)</f>
        <v>41929</v>
      </c>
      <c r="D501" s="14" t="str">
        <f>IFERROR(__xludf.DUMMYFUNCTION("""COMPUTED_VALUE"""),"Consumer")</f>
        <v>Consumer</v>
      </c>
      <c r="E501" s="14" t="str">
        <f>IFERROR(__xludf.DUMMYFUNCTION("""COMPUTED_VALUE"""),"Texas")</f>
        <v>Texas</v>
      </c>
      <c r="F501" s="14" t="str">
        <f>IFERROR(__xludf.DUMMYFUNCTION("""COMPUTED_VALUE"""),"Central")</f>
        <v>Central</v>
      </c>
      <c r="G501" s="14">
        <f>IFERROR(__xludf.DUMMYFUNCTION("""COMPUTED_VALUE"""),5.312)</f>
        <v>5.312</v>
      </c>
      <c r="H501" s="14">
        <f>IFERROR(__xludf.DUMMYFUNCTION("""COMPUTED_VALUE"""),2.0)</f>
        <v>2</v>
      </c>
      <c r="I501" s="14">
        <f>IFERROR(__xludf.DUMMYFUNCTION("""COMPUTED_VALUE"""),-1.5936)</f>
        <v>-1.5936</v>
      </c>
      <c r="J501" s="3"/>
      <c r="K501" s="21"/>
      <c r="L501" s="21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</row>
    <row r="502">
      <c r="A502" s="12"/>
      <c r="B502" s="14" t="str">
        <f>IFERROR(__xludf.DUMMYFUNCTION("""COMPUTED_VALUE"""),"CA-2014-130428")</f>
        <v>CA-2014-130428</v>
      </c>
      <c r="C502" s="22">
        <f>IFERROR(__xludf.DUMMYFUNCTION("""COMPUTED_VALUE"""),41729.0)</f>
        <v>41729</v>
      </c>
      <c r="D502" s="14" t="str">
        <f>IFERROR(__xludf.DUMMYFUNCTION("""COMPUTED_VALUE"""),"Consumer")</f>
        <v>Consumer</v>
      </c>
      <c r="E502" s="14" t="str">
        <f>IFERROR(__xludf.DUMMYFUNCTION("""COMPUTED_VALUE"""),"Florida")</f>
        <v>Florida</v>
      </c>
      <c r="F502" s="14" t="str">
        <f>IFERROR(__xludf.DUMMYFUNCTION("""COMPUTED_VALUE"""),"South")</f>
        <v>South</v>
      </c>
      <c r="G502" s="14">
        <f>IFERROR(__xludf.DUMMYFUNCTION("""COMPUTED_VALUE"""),1125.488)</f>
        <v>1125.488</v>
      </c>
      <c r="H502" s="14">
        <f>IFERROR(__xludf.DUMMYFUNCTION("""COMPUTED_VALUE"""),7.0)</f>
        <v>7</v>
      </c>
      <c r="I502" s="14">
        <f>IFERROR(__xludf.DUMMYFUNCTION("""COMPUTED_VALUE"""),98.4802)</f>
        <v>98.4802</v>
      </c>
      <c r="J502" s="3"/>
      <c r="K502" s="21"/>
      <c r="L502" s="21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</row>
    <row r="503">
      <c r="A503" s="12"/>
      <c r="B503" s="14" t="str">
        <f>IFERROR(__xludf.DUMMYFUNCTION("""COMPUTED_VALUE"""),"CA-2014-130155")</f>
        <v>CA-2014-130155</v>
      </c>
      <c r="C503" s="22">
        <f>IFERROR(__xludf.DUMMYFUNCTION("""COMPUTED_VALUE"""),41778.0)</f>
        <v>41778</v>
      </c>
      <c r="D503" s="14" t="str">
        <f>IFERROR(__xludf.DUMMYFUNCTION("""COMPUTED_VALUE"""),"Consumer")</f>
        <v>Consumer</v>
      </c>
      <c r="E503" s="14" t="str">
        <f>IFERROR(__xludf.DUMMYFUNCTION("""COMPUTED_VALUE"""),"Virginia")</f>
        <v>Virginia</v>
      </c>
      <c r="F503" s="14" t="str">
        <f>IFERROR(__xludf.DUMMYFUNCTION("""COMPUTED_VALUE"""),"South")</f>
        <v>South</v>
      </c>
      <c r="G503" s="14">
        <f>IFERROR(__xludf.DUMMYFUNCTION("""COMPUTED_VALUE"""),34.2)</f>
        <v>34.2</v>
      </c>
      <c r="H503" s="14">
        <f>IFERROR(__xludf.DUMMYFUNCTION("""COMPUTED_VALUE"""),5.0)</f>
        <v>5</v>
      </c>
      <c r="I503" s="14">
        <f>IFERROR(__xludf.DUMMYFUNCTION("""COMPUTED_VALUE"""),9.234)</f>
        <v>9.234</v>
      </c>
      <c r="J503" s="3"/>
      <c r="K503" s="21"/>
      <c r="L503" s="21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</row>
    <row r="504">
      <c r="A504" s="12"/>
      <c r="B504" s="14" t="str">
        <f>IFERROR(__xludf.DUMMYFUNCTION("""COMPUTED_VALUE"""),"CA-2014-139283")</f>
        <v>CA-2014-139283</v>
      </c>
      <c r="C504" s="23">
        <f>IFERROR(__xludf.DUMMYFUNCTION("""COMPUTED_VALUE"""),41966.0)</f>
        <v>41966</v>
      </c>
      <c r="D504" s="14" t="str">
        <f>IFERROR(__xludf.DUMMYFUNCTION("""COMPUTED_VALUE"""),"Consumer")</f>
        <v>Consumer</v>
      </c>
      <c r="E504" s="14" t="str">
        <f>IFERROR(__xludf.DUMMYFUNCTION("""COMPUTED_VALUE"""),"Michigan")</f>
        <v>Michigan</v>
      </c>
      <c r="F504" s="14" t="str">
        <f>IFERROR(__xludf.DUMMYFUNCTION("""COMPUTED_VALUE"""),"Central")</f>
        <v>Central</v>
      </c>
      <c r="G504" s="14">
        <f>IFERROR(__xludf.DUMMYFUNCTION("""COMPUTED_VALUE"""),14.67)</f>
        <v>14.67</v>
      </c>
      <c r="H504" s="14">
        <f>IFERROR(__xludf.DUMMYFUNCTION("""COMPUTED_VALUE"""),3.0)</f>
        <v>3</v>
      </c>
      <c r="I504" s="14">
        <f>IFERROR(__xludf.DUMMYFUNCTION("""COMPUTED_VALUE"""),6.7482)</f>
        <v>6.7482</v>
      </c>
      <c r="J504" s="3"/>
      <c r="K504" s="21"/>
      <c r="L504" s="21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</row>
    <row r="505">
      <c r="A505" s="12"/>
      <c r="B505" s="14" t="str">
        <f>IFERROR(__xludf.DUMMYFUNCTION("""COMPUTED_VALUE"""),"CA-2014-118192")</f>
        <v>CA-2014-118192</v>
      </c>
      <c r="C505" s="22">
        <f>IFERROR(__xludf.DUMMYFUNCTION("""COMPUTED_VALUE"""),41652.0)</f>
        <v>41652</v>
      </c>
      <c r="D505" s="14" t="str">
        <f>IFERROR(__xludf.DUMMYFUNCTION("""COMPUTED_VALUE"""),"Consumer")</f>
        <v>Consumer</v>
      </c>
      <c r="E505" s="14" t="str">
        <f>IFERROR(__xludf.DUMMYFUNCTION("""COMPUTED_VALUE"""),"Ohio")</f>
        <v>Ohio</v>
      </c>
      <c r="F505" s="14" t="str">
        <f>IFERROR(__xludf.DUMMYFUNCTION("""COMPUTED_VALUE"""),"East")</f>
        <v>East</v>
      </c>
      <c r="G505" s="14">
        <f>IFERROR(__xludf.DUMMYFUNCTION("""COMPUTED_VALUE"""),37.408)</f>
        <v>37.408</v>
      </c>
      <c r="H505" s="14">
        <f>IFERROR(__xludf.DUMMYFUNCTION("""COMPUTED_VALUE"""),7.0)</f>
        <v>7</v>
      </c>
      <c r="I505" s="14">
        <f>IFERROR(__xludf.DUMMYFUNCTION("""COMPUTED_VALUE"""),13.0928)</f>
        <v>13.0928</v>
      </c>
      <c r="J505" s="3"/>
      <c r="K505" s="21"/>
      <c r="L505" s="21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</row>
    <row r="506">
      <c r="A506" s="12"/>
      <c r="B506" s="14" t="str">
        <f>IFERROR(__xludf.DUMMYFUNCTION("""COMPUTED_VALUE"""),"CA-2014-151330")</f>
        <v>CA-2014-151330</v>
      </c>
      <c r="C506" s="23">
        <f>IFERROR(__xludf.DUMMYFUNCTION("""COMPUTED_VALUE"""),41926.0)</f>
        <v>41926</v>
      </c>
      <c r="D506" s="14" t="str">
        <f>IFERROR(__xludf.DUMMYFUNCTION("""COMPUTED_VALUE"""),"Consumer")</f>
        <v>Consumer</v>
      </c>
      <c r="E506" s="14" t="str">
        <f>IFERROR(__xludf.DUMMYFUNCTION("""COMPUTED_VALUE"""),"Massachusetts")</f>
        <v>Massachusetts</v>
      </c>
      <c r="F506" s="14" t="str">
        <f>IFERROR(__xludf.DUMMYFUNCTION("""COMPUTED_VALUE"""),"East")</f>
        <v>East</v>
      </c>
      <c r="G506" s="14">
        <f>IFERROR(__xludf.DUMMYFUNCTION("""COMPUTED_VALUE"""),177.0)</f>
        <v>177</v>
      </c>
      <c r="H506" s="14">
        <f>IFERROR(__xludf.DUMMYFUNCTION("""COMPUTED_VALUE"""),3.0)</f>
        <v>3</v>
      </c>
      <c r="I506" s="14">
        <f>IFERROR(__xludf.DUMMYFUNCTION("""COMPUTED_VALUE"""),30.09)</f>
        <v>30.09</v>
      </c>
      <c r="J506" s="3"/>
      <c r="K506" s="21"/>
      <c r="L506" s="21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</row>
    <row r="507">
      <c r="A507" s="12"/>
      <c r="B507" s="14" t="str">
        <f>IFERROR(__xludf.DUMMYFUNCTION("""COMPUTED_VALUE"""),"CA-2014-150518")</f>
        <v>CA-2014-150518</v>
      </c>
      <c r="C507" s="23">
        <f>IFERROR(__xludf.DUMMYFUNCTION("""COMPUTED_VALUE"""),41962.0)</f>
        <v>41962</v>
      </c>
      <c r="D507" s="14" t="str">
        <f>IFERROR(__xludf.DUMMYFUNCTION("""COMPUTED_VALUE"""),"Consumer")</f>
        <v>Consumer</v>
      </c>
      <c r="E507" s="14" t="str">
        <f>IFERROR(__xludf.DUMMYFUNCTION("""COMPUTED_VALUE"""),"Minnesota")</f>
        <v>Minnesota</v>
      </c>
      <c r="F507" s="14" t="str">
        <f>IFERROR(__xludf.DUMMYFUNCTION("""COMPUTED_VALUE"""),"Central")</f>
        <v>Central</v>
      </c>
      <c r="G507" s="14">
        <f>IFERROR(__xludf.DUMMYFUNCTION("""COMPUTED_VALUE"""),221.16)</f>
        <v>221.16</v>
      </c>
      <c r="H507" s="14">
        <f>IFERROR(__xludf.DUMMYFUNCTION("""COMPUTED_VALUE"""),4.0)</f>
        <v>4</v>
      </c>
      <c r="I507" s="14">
        <f>IFERROR(__xludf.DUMMYFUNCTION("""COMPUTED_VALUE"""),57.5016)</f>
        <v>57.5016</v>
      </c>
      <c r="J507" s="3"/>
      <c r="K507" s="21"/>
      <c r="L507" s="21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</row>
    <row r="508">
      <c r="A508" s="12"/>
      <c r="B508" s="14" t="str">
        <f>IFERROR(__xludf.DUMMYFUNCTION("""COMPUTED_VALUE"""),"CA-2014-156160")</f>
        <v>CA-2014-156160</v>
      </c>
      <c r="C508" s="22">
        <f>IFERROR(__xludf.DUMMYFUNCTION("""COMPUTED_VALUE"""),41904.0)</f>
        <v>41904</v>
      </c>
      <c r="D508" s="14" t="str">
        <f>IFERROR(__xludf.DUMMYFUNCTION("""COMPUTED_VALUE"""),"Consumer")</f>
        <v>Consumer</v>
      </c>
      <c r="E508" s="14" t="str">
        <f>IFERROR(__xludf.DUMMYFUNCTION("""COMPUTED_VALUE"""),"New York")</f>
        <v>New York</v>
      </c>
      <c r="F508" s="14" t="str">
        <f>IFERROR(__xludf.DUMMYFUNCTION("""COMPUTED_VALUE"""),"East")</f>
        <v>East</v>
      </c>
      <c r="G508" s="14">
        <f>IFERROR(__xludf.DUMMYFUNCTION("""COMPUTED_VALUE"""),97.44)</f>
        <v>97.44</v>
      </c>
      <c r="H508" s="14">
        <f>IFERROR(__xludf.DUMMYFUNCTION("""COMPUTED_VALUE"""),3.0)</f>
        <v>3</v>
      </c>
      <c r="I508" s="14">
        <f>IFERROR(__xludf.DUMMYFUNCTION("""COMPUTED_VALUE"""),35.0784)</f>
        <v>35.0784</v>
      </c>
      <c r="J508" s="3"/>
      <c r="K508" s="21"/>
      <c r="L508" s="21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</row>
    <row r="509">
      <c r="A509" s="12"/>
      <c r="B509" s="14" t="str">
        <f>IFERROR(__xludf.DUMMYFUNCTION("""COMPUTED_VALUE"""),"CA-2014-100860")</f>
        <v>CA-2014-100860</v>
      </c>
      <c r="C509" s="22">
        <f>IFERROR(__xludf.DUMMYFUNCTION("""COMPUTED_VALUE"""),41724.0)</f>
        <v>41724</v>
      </c>
      <c r="D509" s="14" t="str">
        <f>IFERROR(__xludf.DUMMYFUNCTION("""COMPUTED_VALUE"""),"Consumer")</f>
        <v>Consumer</v>
      </c>
      <c r="E509" s="14" t="str">
        <f>IFERROR(__xludf.DUMMYFUNCTION("""COMPUTED_VALUE"""),"California")</f>
        <v>California</v>
      </c>
      <c r="F509" s="14" t="str">
        <f>IFERROR(__xludf.DUMMYFUNCTION("""COMPUTED_VALUE"""),"West")</f>
        <v>West</v>
      </c>
      <c r="G509" s="14">
        <f>IFERROR(__xludf.DUMMYFUNCTION("""COMPUTED_VALUE"""),18.75)</f>
        <v>18.75</v>
      </c>
      <c r="H509" s="14">
        <f>IFERROR(__xludf.DUMMYFUNCTION("""COMPUTED_VALUE"""),5.0)</f>
        <v>5</v>
      </c>
      <c r="I509" s="14">
        <f>IFERROR(__xludf.DUMMYFUNCTION("""COMPUTED_VALUE"""),9.0)</f>
        <v>9</v>
      </c>
      <c r="J509" s="3"/>
      <c r="K509" s="21"/>
      <c r="L509" s="21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</row>
    <row r="510">
      <c r="A510" s="12"/>
      <c r="B510" s="14" t="str">
        <f>IFERROR(__xludf.DUMMYFUNCTION("""COMPUTED_VALUE"""),"US-2014-164644")</f>
        <v>US-2014-164644</v>
      </c>
      <c r="C510" s="22">
        <f>IFERROR(__xludf.DUMMYFUNCTION("""COMPUTED_VALUE"""),41842.0)</f>
        <v>41842</v>
      </c>
      <c r="D510" s="14" t="str">
        <f>IFERROR(__xludf.DUMMYFUNCTION("""COMPUTED_VALUE"""),"Consumer")</f>
        <v>Consumer</v>
      </c>
      <c r="E510" s="14" t="str">
        <f>IFERROR(__xludf.DUMMYFUNCTION("""COMPUTED_VALUE"""),"Texas")</f>
        <v>Texas</v>
      </c>
      <c r="F510" s="14" t="str">
        <f>IFERROR(__xludf.DUMMYFUNCTION("""COMPUTED_VALUE"""),"Central")</f>
        <v>Central</v>
      </c>
      <c r="G510" s="14">
        <f>IFERROR(__xludf.DUMMYFUNCTION("""COMPUTED_VALUE"""),26.632)</f>
        <v>26.632</v>
      </c>
      <c r="H510" s="14">
        <f>IFERROR(__xludf.DUMMYFUNCTION("""COMPUTED_VALUE"""),1.0)</f>
        <v>1</v>
      </c>
      <c r="I510" s="14">
        <f>IFERROR(__xludf.DUMMYFUNCTION("""COMPUTED_VALUE"""),1.3316)</f>
        <v>1.3316</v>
      </c>
      <c r="J510" s="3"/>
      <c r="K510" s="21"/>
      <c r="L510" s="21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</row>
    <row r="511">
      <c r="A511" s="12"/>
      <c r="B511" s="14" t="str">
        <f>IFERROR(__xludf.DUMMYFUNCTION("""COMPUTED_VALUE"""),"CA-2014-114251")</f>
        <v>CA-2014-114251</v>
      </c>
      <c r="C511" s="22">
        <f>IFERROR(__xludf.DUMMYFUNCTION("""COMPUTED_VALUE"""),41948.0)</f>
        <v>41948</v>
      </c>
      <c r="D511" s="14" t="str">
        <f>IFERROR(__xludf.DUMMYFUNCTION("""COMPUTED_VALUE"""),"Consumer")</f>
        <v>Consumer</v>
      </c>
      <c r="E511" s="14" t="str">
        <f>IFERROR(__xludf.DUMMYFUNCTION("""COMPUTED_VALUE"""),"Pennsylvania")</f>
        <v>Pennsylvania</v>
      </c>
      <c r="F511" s="14" t="str">
        <f>IFERROR(__xludf.DUMMYFUNCTION("""COMPUTED_VALUE"""),"East")</f>
        <v>East</v>
      </c>
      <c r="G511" s="14">
        <f>IFERROR(__xludf.DUMMYFUNCTION("""COMPUTED_VALUE"""),273.568)</f>
        <v>273.568</v>
      </c>
      <c r="H511" s="14">
        <f>IFERROR(__xludf.DUMMYFUNCTION("""COMPUTED_VALUE"""),2.0)</f>
        <v>2</v>
      </c>
      <c r="I511" s="14">
        <f>IFERROR(__xludf.DUMMYFUNCTION("""COMPUTED_VALUE"""),-34.196)</f>
        <v>-34.196</v>
      </c>
      <c r="J511" s="3"/>
      <c r="K511" s="21"/>
      <c r="L511" s="21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</row>
    <row r="512">
      <c r="A512" s="12"/>
      <c r="B512" s="14" t="str">
        <f>IFERROR(__xludf.DUMMYFUNCTION("""COMPUTED_VALUE"""),"CA-2014-111962")</f>
        <v>CA-2014-111962</v>
      </c>
      <c r="C512" s="22">
        <f>IFERROR(__xludf.DUMMYFUNCTION("""COMPUTED_VALUE"""),41911.0)</f>
        <v>41911</v>
      </c>
      <c r="D512" s="14" t="str">
        <f>IFERROR(__xludf.DUMMYFUNCTION("""COMPUTED_VALUE"""),"Consumer")</f>
        <v>Consumer</v>
      </c>
      <c r="E512" s="14" t="str">
        <f>IFERROR(__xludf.DUMMYFUNCTION("""COMPUTED_VALUE"""),"Washington")</f>
        <v>Washington</v>
      </c>
      <c r="F512" s="14" t="str">
        <f>IFERROR(__xludf.DUMMYFUNCTION("""COMPUTED_VALUE"""),"West")</f>
        <v>West</v>
      </c>
      <c r="G512" s="14">
        <f>IFERROR(__xludf.DUMMYFUNCTION("""COMPUTED_VALUE"""),10.048)</f>
        <v>10.048</v>
      </c>
      <c r="H512" s="14">
        <f>IFERROR(__xludf.DUMMYFUNCTION("""COMPUTED_VALUE"""),2.0)</f>
        <v>2</v>
      </c>
      <c r="I512" s="14">
        <f>IFERROR(__xludf.DUMMYFUNCTION("""COMPUTED_VALUE"""),3.14)</f>
        <v>3.14</v>
      </c>
      <c r="J512" s="3"/>
      <c r="K512" s="21"/>
      <c r="L512" s="21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</row>
    <row r="513">
      <c r="A513" s="12"/>
      <c r="B513" s="14" t="str">
        <f>IFERROR(__xludf.DUMMYFUNCTION("""COMPUTED_VALUE"""),"US-2014-140914")</f>
        <v>US-2014-140914</v>
      </c>
      <c r="C513" s="23">
        <f>IFERROR(__xludf.DUMMYFUNCTION("""COMPUTED_VALUE"""),41954.0)</f>
        <v>41954</v>
      </c>
      <c r="D513" s="14" t="str">
        <f>IFERROR(__xludf.DUMMYFUNCTION("""COMPUTED_VALUE"""),"Consumer")</f>
        <v>Consumer</v>
      </c>
      <c r="E513" s="14" t="str">
        <f>IFERROR(__xludf.DUMMYFUNCTION("""COMPUTED_VALUE"""),"Illinois")</f>
        <v>Illinois</v>
      </c>
      <c r="F513" s="14" t="str">
        <f>IFERROR(__xludf.DUMMYFUNCTION("""COMPUTED_VALUE"""),"Central")</f>
        <v>Central</v>
      </c>
      <c r="G513" s="14">
        <f>IFERROR(__xludf.DUMMYFUNCTION("""COMPUTED_VALUE"""),10.984)</f>
        <v>10.984</v>
      </c>
      <c r="H513" s="14">
        <f>IFERROR(__xludf.DUMMYFUNCTION("""COMPUTED_VALUE"""),2.0)</f>
        <v>2</v>
      </c>
      <c r="I513" s="14">
        <f>IFERROR(__xludf.DUMMYFUNCTION("""COMPUTED_VALUE"""),-7.9634)</f>
        <v>-7.9634</v>
      </c>
      <c r="J513" s="3"/>
      <c r="K513" s="21"/>
      <c r="L513" s="21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</row>
    <row r="514">
      <c r="A514" s="12"/>
      <c r="B514" s="14" t="str">
        <f>IFERROR(__xludf.DUMMYFUNCTION("""COMPUTED_VALUE"""),"CA-2014-123855")</f>
        <v>CA-2014-123855</v>
      </c>
      <c r="C514" s="22">
        <f>IFERROR(__xludf.DUMMYFUNCTION("""COMPUTED_VALUE"""),41808.0)</f>
        <v>41808</v>
      </c>
      <c r="D514" s="14" t="str">
        <f>IFERROR(__xludf.DUMMYFUNCTION("""COMPUTED_VALUE"""),"Consumer")</f>
        <v>Consumer</v>
      </c>
      <c r="E514" s="14" t="str">
        <f>IFERROR(__xludf.DUMMYFUNCTION("""COMPUTED_VALUE"""),"California")</f>
        <v>California</v>
      </c>
      <c r="F514" s="14" t="str">
        <f>IFERROR(__xludf.DUMMYFUNCTION("""COMPUTED_VALUE"""),"West")</f>
        <v>West</v>
      </c>
      <c r="G514" s="14">
        <f>IFERROR(__xludf.DUMMYFUNCTION("""COMPUTED_VALUE"""),139.8)</f>
        <v>139.8</v>
      </c>
      <c r="H514" s="14">
        <f>IFERROR(__xludf.DUMMYFUNCTION("""COMPUTED_VALUE"""),5.0)</f>
        <v>5</v>
      </c>
      <c r="I514" s="14">
        <f>IFERROR(__xludf.DUMMYFUNCTION("""COMPUTED_VALUE"""),12.2325)</f>
        <v>12.2325</v>
      </c>
      <c r="J514" s="3"/>
      <c r="K514" s="21"/>
      <c r="L514" s="21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</row>
    <row r="515">
      <c r="A515" s="12"/>
      <c r="B515" s="14" t="str">
        <f>IFERROR(__xludf.DUMMYFUNCTION("""COMPUTED_VALUE"""),"CA-2014-169019")</f>
        <v>CA-2014-169019</v>
      </c>
      <c r="C515" s="22">
        <f>IFERROR(__xludf.DUMMYFUNCTION("""COMPUTED_VALUE"""),41846.0)</f>
        <v>41846</v>
      </c>
      <c r="D515" s="14" t="str">
        <f>IFERROR(__xludf.DUMMYFUNCTION("""COMPUTED_VALUE"""),"Consumer")</f>
        <v>Consumer</v>
      </c>
      <c r="E515" s="14" t="str">
        <f>IFERROR(__xludf.DUMMYFUNCTION("""COMPUTED_VALUE"""),"Texas")</f>
        <v>Texas</v>
      </c>
      <c r="F515" s="14" t="str">
        <f>IFERROR(__xludf.DUMMYFUNCTION("""COMPUTED_VALUE"""),"Central")</f>
        <v>Central</v>
      </c>
      <c r="G515" s="14">
        <f>IFERROR(__xludf.DUMMYFUNCTION("""COMPUTED_VALUE"""),2177.584)</f>
        <v>2177.584</v>
      </c>
      <c r="H515" s="14">
        <f>IFERROR(__xludf.DUMMYFUNCTION("""COMPUTED_VALUE"""),8.0)</f>
        <v>8</v>
      </c>
      <c r="I515" s="14">
        <f>IFERROR(__xludf.DUMMYFUNCTION("""COMPUTED_VALUE"""),-3701.8928)</f>
        <v>-3701.8928</v>
      </c>
      <c r="J515" s="3"/>
      <c r="K515" s="21"/>
      <c r="L515" s="21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</row>
    <row r="516">
      <c r="A516" s="12"/>
      <c r="B516" s="14" t="str">
        <f>IFERROR(__xludf.DUMMYFUNCTION("""COMPUTED_VALUE"""),"US-2014-114377")</f>
        <v>US-2014-114377</v>
      </c>
      <c r="C516" s="22">
        <f>IFERROR(__xludf.DUMMYFUNCTION("""COMPUTED_VALUE"""),41948.0)</f>
        <v>41948</v>
      </c>
      <c r="D516" s="14" t="str">
        <f>IFERROR(__xludf.DUMMYFUNCTION("""COMPUTED_VALUE"""),"Consumer")</f>
        <v>Consumer</v>
      </c>
      <c r="E516" s="14" t="str">
        <f>IFERROR(__xludf.DUMMYFUNCTION("""COMPUTED_VALUE"""),"Virginia")</f>
        <v>Virginia</v>
      </c>
      <c r="F516" s="14" t="str">
        <f>IFERROR(__xludf.DUMMYFUNCTION("""COMPUTED_VALUE"""),"South")</f>
        <v>South</v>
      </c>
      <c r="G516" s="14">
        <f>IFERROR(__xludf.DUMMYFUNCTION("""COMPUTED_VALUE"""),149.9)</f>
        <v>149.9</v>
      </c>
      <c r="H516" s="14">
        <f>IFERROR(__xludf.DUMMYFUNCTION("""COMPUTED_VALUE"""),5.0)</f>
        <v>5</v>
      </c>
      <c r="I516" s="14">
        <f>IFERROR(__xludf.DUMMYFUNCTION("""COMPUTED_VALUE"""),40.473)</f>
        <v>40.473</v>
      </c>
      <c r="J516" s="3"/>
      <c r="K516" s="21"/>
      <c r="L516" s="21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</row>
    <row r="517">
      <c r="A517" s="12"/>
      <c r="B517" s="14" t="str">
        <f>IFERROR(__xludf.DUMMYFUNCTION("""COMPUTED_VALUE"""),"CA-2014-127166")</f>
        <v>CA-2014-127166</v>
      </c>
      <c r="C517" s="22">
        <f>IFERROR(__xludf.DUMMYFUNCTION("""COMPUTED_VALUE"""),41780.0)</f>
        <v>41780</v>
      </c>
      <c r="D517" s="14" t="str">
        <f>IFERROR(__xludf.DUMMYFUNCTION("""COMPUTED_VALUE"""),"Consumer")</f>
        <v>Consumer</v>
      </c>
      <c r="E517" s="14" t="str">
        <f>IFERROR(__xludf.DUMMYFUNCTION("""COMPUTED_VALUE"""),"Texas")</f>
        <v>Texas</v>
      </c>
      <c r="F517" s="14" t="str">
        <f>IFERROR(__xludf.DUMMYFUNCTION("""COMPUTED_VALUE"""),"Central")</f>
        <v>Central</v>
      </c>
      <c r="G517" s="14">
        <f>IFERROR(__xludf.DUMMYFUNCTION("""COMPUTED_VALUE"""),56.064)</f>
        <v>56.064</v>
      </c>
      <c r="H517" s="14">
        <f>IFERROR(__xludf.DUMMYFUNCTION("""COMPUTED_VALUE"""),6.0)</f>
        <v>6</v>
      </c>
      <c r="I517" s="14">
        <f>IFERROR(__xludf.DUMMYFUNCTION("""COMPUTED_VALUE"""),21.024)</f>
        <v>21.024</v>
      </c>
      <c r="J517" s="3"/>
      <c r="K517" s="21"/>
      <c r="L517" s="21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</row>
    <row r="518">
      <c r="A518" s="12"/>
      <c r="B518" s="14" t="str">
        <f>IFERROR(__xludf.DUMMYFUNCTION("""COMPUTED_VALUE"""),"US-2014-139640")</f>
        <v>US-2014-139640</v>
      </c>
      <c r="C518" s="22">
        <f>IFERROR(__xludf.DUMMYFUNCTION("""COMPUTED_VALUE"""),41950.0)</f>
        <v>41950</v>
      </c>
      <c r="D518" s="14" t="str">
        <f>IFERROR(__xludf.DUMMYFUNCTION("""COMPUTED_VALUE"""),"Consumer")</f>
        <v>Consumer</v>
      </c>
      <c r="E518" s="14" t="str">
        <f>IFERROR(__xludf.DUMMYFUNCTION("""COMPUTED_VALUE"""),"Oregon")</f>
        <v>Oregon</v>
      </c>
      <c r="F518" s="14" t="str">
        <f>IFERROR(__xludf.DUMMYFUNCTION("""COMPUTED_VALUE"""),"West")</f>
        <v>West</v>
      </c>
      <c r="G518" s="14">
        <f>IFERROR(__xludf.DUMMYFUNCTION("""COMPUTED_VALUE"""),25.92)</f>
        <v>25.92</v>
      </c>
      <c r="H518" s="14">
        <f>IFERROR(__xludf.DUMMYFUNCTION("""COMPUTED_VALUE"""),5.0)</f>
        <v>5</v>
      </c>
      <c r="I518" s="14">
        <f>IFERROR(__xludf.DUMMYFUNCTION("""COMPUTED_VALUE"""),9.072)</f>
        <v>9.072</v>
      </c>
      <c r="J518" s="3"/>
      <c r="K518" s="21"/>
      <c r="L518" s="21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</row>
    <row r="519">
      <c r="A519" s="12"/>
      <c r="B519" s="14" t="str">
        <f>IFERROR(__xludf.DUMMYFUNCTION("""COMPUTED_VALUE"""),"US-2014-164406")</f>
        <v>US-2014-164406</v>
      </c>
      <c r="C519" s="22">
        <f>IFERROR(__xludf.DUMMYFUNCTION("""COMPUTED_VALUE"""),41866.0)</f>
        <v>41866</v>
      </c>
      <c r="D519" s="14" t="str">
        <f>IFERROR(__xludf.DUMMYFUNCTION("""COMPUTED_VALUE"""),"Consumer")</f>
        <v>Consumer</v>
      </c>
      <c r="E519" s="14" t="str">
        <f>IFERROR(__xludf.DUMMYFUNCTION("""COMPUTED_VALUE"""),"California")</f>
        <v>California</v>
      </c>
      <c r="F519" s="14" t="str">
        <f>IFERROR(__xludf.DUMMYFUNCTION("""COMPUTED_VALUE"""),"West")</f>
        <v>West</v>
      </c>
      <c r="G519" s="14">
        <f>IFERROR(__xludf.DUMMYFUNCTION("""COMPUTED_VALUE"""),152.91)</f>
        <v>152.91</v>
      </c>
      <c r="H519" s="14">
        <f>IFERROR(__xludf.DUMMYFUNCTION("""COMPUTED_VALUE"""),3.0)</f>
        <v>3</v>
      </c>
      <c r="I519" s="14">
        <f>IFERROR(__xludf.DUMMYFUNCTION("""COMPUTED_VALUE"""),42.8148)</f>
        <v>42.8148</v>
      </c>
      <c r="J519" s="3"/>
      <c r="K519" s="21"/>
      <c r="L519" s="21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</row>
    <row r="520">
      <c r="A520" s="12"/>
      <c r="B520" s="14" t="str">
        <f>IFERROR(__xludf.DUMMYFUNCTION("""COMPUTED_VALUE"""),"CA-2014-113257")</f>
        <v>CA-2014-113257</v>
      </c>
      <c r="C520" s="23">
        <f>IFERROR(__xludf.DUMMYFUNCTION("""COMPUTED_VALUE"""),41989.0)</f>
        <v>41989</v>
      </c>
      <c r="D520" s="14" t="str">
        <f>IFERROR(__xludf.DUMMYFUNCTION("""COMPUTED_VALUE"""),"Consumer")</f>
        <v>Consumer</v>
      </c>
      <c r="E520" s="14" t="str">
        <f>IFERROR(__xludf.DUMMYFUNCTION("""COMPUTED_VALUE"""),"Texas")</f>
        <v>Texas</v>
      </c>
      <c r="F520" s="14" t="str">
        <f>IFERROR(__xludf.DUMMYFUNCTION("""COMPUTED_VALUE"""),"Central")</f>
        <v>Central</v>
      </c>
      <c r="G520" s="14">
        <f>IFERROR(__xludf.DUMMYFUNCTION("""COMPUTED_VALUE"""),319.968)</f>
        <v>319.968</v>
      </c>
      <c r="H520" s="14">
        <f>IFERROR(__xludf.DUMMYFUNCTION("""COMPUTED_VALUE"""),4.0)</f>
        <v>4</v>
      </c>
      <c r="I520" s="14">
        <f>IFERROR(__xludf.DUMMYFUNCTION("""COMPUTED_VALUE"""),95.9904)</f>
        <v>95.9904</v>
      </c>
      <c r="J520" s="3"/>
      <c r="K520" s="21"/>
      <c r="L520" s="21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</row>
    <row r="521">
      <c r="A521" s="12"/>
      <c r="B521" s="14" t="str">
        <f>IFERROR(__xludf.DUMMYFUNCTION("""COMPUTED_VALUE"""),"CA-2014-133963")</f>
        <v>CA-2014-133963</v>
      </c>
      <c r="C521" s="22">
        <f>IFERROR(__xludf.DUMMYFUNCTION("""COMPUTED_VALUE"""),41777.0)</f>
        <v>41777</v>
      </c>
      <c r="D521" s="14" t="str">
        <f>IFERROR(__xludf.DUMMYFUNCTION("""COMPUTED_VALUE"""),"Consumer")</f>
        <v>Consumer</v>
      </c>
      <c r="E521" s="14" t="str">
        <f>IFERROR(__xludf.DUMMYFUNCTION("""COMPUTED_VALUE"""),"Texas")</f>
        <v>Texas</v>
      </c>
      <c r="F521" s="14" t="str">
        <f>IFERROR(__xludf.DUMMYFUNCTION("""COMPUTED_VALUE"""),"Central")</f>
        <v>Central</v>
      </c>
      <c r="G521" s="14">
        <f>IFERROR(__xludf.DUMMYFUNCTION("""COMPUTED_VALUE"""),3.984)</f>
        <v>3.984</v>
      </c>
      <c r="H521" s="14">
        <f>IFERROR(__xludf.DUMMYFUNCTION("""COMPUTED_VALUE"""),1.0)</f>
        <v>1</v>
      </c>
      <c r="I521" s="14">
        <f>IFERROR(__xludf.DUMMYFUNCTION("""COMPUTED_VALUE"""),1.4442)</f>
        <v>1.4442</v>
      </c>
      <c r="J521" s="3"/>
      <c r="K521" s="21"/>
      <c r="L521" s="21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</row>
    <row r="522">
      <c r="A522" s="12"/>
      <c r="B522" s="14" t="str">
        <f>IFERROR(__xludf.DUMMYFUNCTION("""COMPUTED_VALUE"""),"CA-2014-163867")</f>
        <v>CA-2014-163867</v>
      </c>
      <c r="C522" s="22">
        <f>IFERROR(__xludf.DUMMYFUNCTION("""COMPUTED_VALUE"""),41793.0)</f>
        <v>41793</v>
      </c>
      <c r="D522" s="14" t="str">
        <f>IFERROR(__xludf.DUMMYFUNCTION("""COMPUTED_VALUE"""),"Consumer")</f>
        <v>Consumer</v>
      </c>
      <c r="E522" s="14" t="str">
        <f>IFERROR(__xludf.DUMMYFUNCTION("""COMPUTED_VALUE"""),"Illinois")</f>
        <v>Illinois</v>
      </c>
      <c r="F522" s="14" t="str">
        <f>IFERROR(__xludf.DUMMYFUNCTION("""COMPUTED_VALUE"""),"Central")</f>
        <v>Central</v>
      </c>
      <c r="G522" s="14">
        <f>IFERROR(__xludf.DUMMYFUNCTION("""COMPUTED_VALUE"""),15.936)</f>
        <v>15.936</v>
      </c>
      <c r="H522" s="14">
        <f>IFERROR(__xludf.DUMMYFUNCTION("""COMPUTED_VALUE"""),4.0)</f>
        <v>4</v>
      </c>
      <c r="I522" s="14">
        <f>IFERROR(__xludf.DUMMYFUNCTION("""COMPUTED_VALUE"""),5.1792)</f>
        <v>5.1792</v>
      </c>
      <c r="J522" s="3"/>
      <c r="K522" s="21"/>
      <c r="L522" s="21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</row>
    <row r="523">
      <c r="A523" s="12"/>
      <c r="B523" s="14" t="str">
        <f>IFERROR(__xludf.DUMMYFUNCTION("""COMPUTED_VALUE"""),"CA-2014-120950")</f>
        <v>CA-2014-120950</v>
      </c>
      <c r="C523" s="22">
        <f>IFERROR(__xludf.DUMMYFUNCTION("""COMPUTED_VALUE"""),41949.0)</f>
        <v>41949</v>
      </c>
      <c r="D523" s="14" t="str">
        <f>IFERROR(__xludf.DUMMYFUNCTION("""COMPUTED_VALUE"""),"Consumer")</f>
        <v>Consumer</v>
      </c>
      <c r="E523" s="14" t="str">
        <f>IFERROR(__xludf.DUMMYFUNCTION("""COMPUTED_VALUE"""),"Georgia")</f>
        <v>Georgia</v>
      </c>
      <c r="F523" s="14" t="str">
        <f>IFERROR(__xludf.DUMMYFUNCTION("""COMPUTED_VALUE"""),"South")</f>
        <v>South</v>
      </c>
      <c r="G523" s="14">
        <f>IFERROR(__xludf.DUMMYFUNCTION("""COMPUTED_VALUE"""),43.68)</f>
        <v>43.68</v>
      </c>
      <c r="H523" s="14">
        <f>IFERROR(__xludf.DUMMYFUNCTION("""COMPUTED_VALUE"""),6.0)</f>
        <v>6</v>
      </c>
      <c r="I523" s="14">
        <f>IFERROR(__xludf.DUMMYFUNCTION("""COMPUTED_VALUE"""),20.9664)</f>
        <v>20.9664</v>
      </c>
      <c r="J523" s="3"/>
      <c r="K523" s="21"/>
      <c r="L523" s="21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</row>
    <row r="524">
      <c r="A524" s="12"/>
      <c r="B524" s="14" t="str">
        <f>IFERROR(__xludf.DUMMYFUNCTION("""COMPUTED_VALUE"""),"CA-2014-153927")</f>
        <v>CA-2014-153927</v>
      </c>
      <c r="C524" s="22">
        <f>IFERROR(__xludf.DUMMYFUNCTION("""COMPUTED_VALUE"""),41863.0)</f>
        <v>41863</v>
      </c>
      <c r="D524" s="14" t="str">
        <f>IFERROR(__xludf.DUMMYFUNCTION("""COMPUTED_VALUE"""),"Consumer")</f>
        <v>Consumer</v>
      </c>
      <c r="E524" s="14" t="str">
        <f>IFERROR(__xludf.DUMMYFUNCTION("""COMPUTED_VALUE"""),"Georgia")</f>
        <v>Georgia</v>
      </c>
      <c r="F524" s="14" t="str">
        <f>IFERROR(__xludf.DUMMYFUNCTION("""COMPUTED_VALUE"""),"South")</f>
        <v>South</v>
      </c>
      <c r="G524" s="14">
        <f>IFERROR(__xludf.DUMMYFUNCTION("""COMPUTED_VALUE"""),14.04)</f>
        <v>14.04</v>
      </c>
      <c r="H524" s="14">
        <f>IFERROR(__xludf.DUMMYFUNCTION("""COMPUTED_VALUE"""),3.0)</f>
        <v>3</v>
      </c>
      <c r="I524" s="14">
        <f>IFERROR(__xludf.DUMMYFUNCTION("""COMPUTED_VALUE"""),6.7392)</f>
        <v>6.7392</v>
      </c>
      <c r="J524" s="3"/>
      <c r="K524" s="21"/>
      <c r="L524" s="21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</row>
    <row r="525">
      <c r="A525" s="12"/>
      <c r="B525" s="14" t="str">
        <f>IFERROR(__xludf.DUMMYFUNCTION("""COMPUTED_VALUE"""),"CA-2014-146997")</f>
        <v>CA-2014-146997</v>
      </c>
      <c r="C525" s="22">
        <f>IFERROR(__xludf.DUMMYFUNCTION("""COMPUTED_VALUE"""),41662.0)</f>
        <v>41662</v>
      </c>
      <c r="D525" s="14" t="str">
        <f>IFERROR(__xludf.DUMMYFUNCTION("""COMPUTED_VALUE"""),"Consumer")</f>
        <v>Consumer</v>
      </c>
      <c r="E525" s="14" t="str">
        <f>IFERROR(__xludf.DUMMYFUNCTION("""COMPUTED_VALUE"""),"Indiana")</f>
        <v>Indiana</v>
      </c>
      <c r="F525" s="14" t="str">
        <f>IFERROR(__xludf.DUMMYFUNCTION("""COMPUTED_VALUE"""),"Central")</f>
        <v>Central</v>
      </c>
      <c r="G525" s="14">
        <f>IFERROR(__xludf.DUMMYFUNCTION("""COMPUTED_VALUE"""),5.94)</f>
        <v>5.94</v>
      </c>
      <c r="H525" s="14">
        <f>IFERROR(__xludf.DUMMYFUNCTION("""COMPUTED_VALUE"""),3.0)</f>
        <v>3</v>
      </c>
      <c r="I525" s="14">
        <f>IFERROR(__xludf.DUMMYFUNCTION("""COMPUTED_VALUE"""),0.0)</f>
        <v>0</v>
      </c>
      <c r="J525" s="3"/>
      <c r="K525" s="21"/>
      <c r="L525" s="21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</row>
    <row r="526">
      <c r="A526" s="12"/>
      <c r="B526" s="14" t="str">
        <f>IFERROR(__xludf.DUMMYFUNCTION("""COMPUTED_VALUE"""),"CA-2014-115049")</f>
        <v>CA-2014-115049</v>
      </c>
      <c r="C526" s="22">
        <f>IFERROR(__xludf.DUMMYFUNCTION("""COMPUTED_VALUE"""),41908.0)</f>
        <v>41908</v>
      </c>
      <c r="D526" s="14" t="str">
        <f>IFERROR(__xludf.DUMMYFUNCTION("""COMPUTED_VALUE"""),"Consumer")</f>
        <v>Consumer</v>
      </c>
      <c r="E526" s="14" t="str">
        <f>IFERROR(__xludf.DUMMYFUNCTION("""COMPUTED_VALUE"""),"Illinois")</f>
        <v>Illinois</v>
      </c>
      <c r="F526" s="14" t="str">
        <f>IFERROR(__xludf.DUMMYFUNCTION("""COMPUTED_VALUE"""),"Central")</f>
        <v>Central</v>
      </c>
      <c r="G526" s="14">
        <f>IFERROR(__xludf.DUMMYFUNCTION("""COMPUTED_VALUE"""),153.824)</f>
        <v>153.824</v>
      </c>
      <c r="H526" s="14">
        <f>IFERROR(__xludf.DUMMYFUNCTION("""COMPUTED_VALUE"""),11.0)</f>
        <v>11</v>
      </c>
      <c r="I526" s="14">
        <f>IFERROR(__xludf.DUMMYFUNCTION("""COMPUTED_VALUE"""),38.456)</f>
        <v>38.456</v>
      </c>
      <c r="J526" s="3"/>
      <c r="K526" s="21"/>
      <c r="L526" s="21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</row>
    <row r="527">
      <c r="A527" s="12"/>
      <c r="B527" s="14" t="str">
        <f>IFERROR(__xludf.DUMMYFUNCTION("""COMPUTED_VALUE"""),"CA-2014-156342")</f>
        <v>CA-2014-156342</v>
      </c>
      <c r="C527" s="22">
        <f>IFERROR(__xludf.DUMMYFUNCTION("""COMPUTED_VALUE"""),41807.0)</f>
        <v>41807</v>
      </c>
      <c r="D527" s="14" t="str">
        <f>IFERROR(__xludf.DUMMYFUNCTION("""COMPUTED_VALUE"""),"Consumer")</f>
        <v>Consumer</v>
      </c>
      <c r="E527" s="14" t="str">
        <f>IFERROR(__xludf.DUMMYFUNCTION("""COMPUTED_VALUE"""),"Illinois")</f>
        <v>Illinois</v>
      </c>
      <c r="F527" s="14" t="str">
        <f>IFERROR(__xludf.DUMMYFUNCTION("""COMPUTED_VALUE"""),"Central")</f>
        <v>Central</v>
      </c>
      <c r="G527" s="14">
        <f>IFERROR(__xludf.DUMMYFUNCTION("""COMPUTED_VALUE"""),62.016)</f>
        <v>62.016</v>
      </c>
      <c r="H527" s="14">
        <f>IFERROR(__xludf.DUMMYFUNCTION("""COMPUTED_VALUE"""),2.0)</f>
        <v>2</v>
      </c>
      <c r="I527" s="14">
        <f>IFERROR(__xludf.DUMMYFUNCTION("""COMPUTED_VALUE"""),22.4808)</f>
        <v>22.4808</v>
      </c>
      <c r="J527" s="3"/>
      <c r="K527" s="21"/>
      <c r="L527" s="21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</row>
    <row r="528">
      <c r="A528" s="12"/>
      <c r="B528" s="14" t="str">
        <f>IFERROR(__xludf.DUMMYFUNCTION("""COMPUTED_VALUE"""),"CA-2014-122609")</f>
        <v>CA-2014-122609</v>
      </c>
      <c r="C528" s="23">
        <f>IFERROR(__xludf.DUMMYFUNCTION("""COMPUTED_VALUE"""),41955.0)</f>
        <v>41955</v>
      </c>
      <c r="D528" s="14" t="str">
        <f>IFERROR(__xludf.DUMMYFUNCTION("""COMPUTED_VALUE"""),"Consumer")</f>
        <v>Consumer</v>
      </c>
      <c r="E528" s="14" t="str">
        <f>IFERROR(__xludf.DUMMYFUNCTION("""COMPUTED_VALUE"""),"Texas")</f>
        <v>Texas</v>
      </c>
      <c r="F528" s="14" t="str">
        <f>IFERROR(__xludf.DUMMYFUNCTION("""COMPUTED_VALUE"""),"Central")</f>
        <v>Central</v>
      </c>
      <c r="G528" s="14">
        <f>IFERROR(__xludf.DUMMYFUNCTION("""COMPUTED_VALUE"""),25.128)</f>
        <v>25.128</v>
      </c>
      <c r="H528" s="14">
        <f>IFERROR(__xludf.DUMMYFUNCTION("""COMPUTED_VALUE"""),3.0)</f>
        <v>3</v>
      </c>
      <c r="I528" s="14">
        <f>IFERROR(__xludf.DUMMYFUNCTION("""COMPUTED_VALUE"""),-6.9102)</f>
        <v>-6.9102</v>
      </c>
      <c r="J528" s="3"/>
      <c r="K528" s="21"/>
      <c r="L528" s="21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</row>
    <row r="529">
      <c r="A529" s="12"/>
      <c r="B529" s="14" t="str">
        <f>IFERROR(__xludf.DUMMYFUNCTION("""COMPUTED_VALUE"""),"CA-2014-166555")</f>
        <v>CA-2014-166555</v>
      </c>
      <c r="C529" s="22">
        <f>IFERROR(__xludf.DUMMYFUNCTION("""COMPUTED_VALUE"""),41831.0)</f>
        <v>41831</v>
      </c>
      <c r="D529" s="14" t="str">
        <f>IFERROR(__xludf.DUMMYFUNCTION("""COMPUTED_VALUE"""),"Consumer")</f>
        <v>Consumer</v>
      </c>
      <c r="E529" s="14" t="str">
        <f>IFERROR(__xludf.DUMMYFUNCTION("""COMPUTED_VALUE"""),"New York")</f>
        <v>New York</v>
      </c>
      <c r="F529" s="14" t="str">
        <f>IFERROR(__xludf.DUMMYFUNCTION("""COMPUTED_VALUE"""),"East")</f>
        <v>East</v>
      </c>
      <c r="G529" s="14">
        <f>IFERROR(__xludf.DUMMYFUNCTION("""COMPUTED_VALUE"""),164.85)</f>
        <v>164.85</v>
      </c>
      <c r="H529" s="14">
        <f>IFERROR(__xludf.DUMMYFUNCTION("""COMPUTED_VALUE"""),3.0)</f>
        <v>3</v>
      </c>
      <c r="I529" s="14">
        <f>IFERROR(__xludf.DUMMYFUNCTION("""COMPUTED_VALUE"""),47.8065)</f>
        <v>47.8065</v>
      </c>
      <c r="J529" s="3"/>
      <c r="K529" s="21"/>
      <c r="L529" s="21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</row>
    <row r="530">
      <c r="A530" s="12"/>
      <c r="B530" s="14" t="str">
        <f>IFERROR(__xludf.DUMMYFUNCTION("""COMPUTED_VALUE"""),"CA-2014-143371")</f>
        <v>CA-2014-143371</v>
      </c>
      <c r="C530" s="23">
        <f>IFERROR(__xludf.DUMMYFUNCTION("""COMPUTED_VALUE"""),42001.0)</f>
        <v>42001</v>
      </c>
      <c r="D530" s="14" t="str">
        <f>IFERROR(__xludf.DUMMYFUNCTION("""COMPUTED_VALUE"""),"Consumer")</f>
        <v>Consumer</v>
      </c>
      <c r="E530" s="14" t="str">
        <f>IFERROR(__xludf.DUMMYFUNCTION("""COMPUTED_VALUE"""),"California")</f>
        <v>California</v>
      </c>
      <c r="F530" s="14" t="str">
        <f>IFERROR(__xludf.DUMMYFUNCTION("""COMPUTED_VALUE"""),"West")</f>
        <v>West</v>
      </c>
      <c r="G530" s="14">
        <f>IFERROR(__xludf.DUMMYFUNCTION("""COMPUTED_VALUE"""),998.82)</f>
        <v>998.82</v>
      </c>
      <c r="H530" s="14">
        <f>IFERROR(__xludf.DUMMYFUNCTION("""COMPUTED_VALUE"""),9.0)</f>
        <v>9</v>
      </c>
      <c r="I530" s="14">
        <f>IFERROR(__xludf.DUMMYFUNCTION("""COMPUTED_VALUE"""),29.9646)</f>
        <v>29.9646</v>
      </c>
      <c r="J530" s="3"/>
      <c r="K530" s="21"/>
      <c r="L530" s="21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</row>
    <row r="531">
      <c r="A531" s="12"/>
      <c r="B531" s="14" t="str">
        <f>IFERROR(__xludf.DUMMYFUNCTION("""COMPUTED_VALUE"""),"CA-2014-110422")</f>
        <v>CA-2014-110422</v>
      </c>
      <c r="C531" s="22">
        <f>IFERROR(__xludf.DUMMYFUNCTION("""COMPUTED_VALUE"""),41660.0)</f>
        <v>41660</v>
      </c>
      <c r="D531" s="14" t="str">
        <f>IFERROR(__xludf.DUMMYFUNCTION("""COMPUTED_VALUE"""),"Consumer")</f>
        <v>Consumer</v>
      </c>
      <c r="E531" s="14" t="str">
        <f>IFERROR(__xludf.DUMMYFUNCTION("""COMPUTED_VALUE"""),"Florida")</f>
        <v>Florida</v>
      </c>
      <c r="F531" s="14" t="str">
        <f>IFERROR(__xludf.DUMMYFUNCTION("""COMPUTED_VALUE"""),"South")</f>
        <v>South</v>
      </c>
      <c r="G531" s="14">
        <f>IFERROR(__xludf.DUMMYFUNCTION("""COMPUTED_VALUE"""),25.248)</f>
        <v>25.248</v>
      </c>
      <c r="H531" s="14">
        <f>IFERROR(__xludf.DUMMYFUNCTION("""COMPUTED_VALUE"""),3.0)</f>
        <v>3</v>
      </c>
      <c r="I531" s="14">
        <f>IFERROR(__xludf.DUMMYFUNCTION("""COMPUTED_VALUE"""),4.1028)</f>
        <v>4.1028</v>
      </c>
      <c r="J531" s="3"/>
      <c r="K531" s="21"/>
      <c r="L531" s="21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</row>
    <row r="532">
      <c r="A532" s="7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</row>
    <row r="533">
      <c r="A533" s="7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</row>
    <row r="534">
      <c r="A534" s="7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</row>
    <row r="535">
      <c r="A535" s="7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</row>
    <row r="536">
      <c r="A536" s="7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</row>
    <row r="537">
      <c r="A537" s="7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</row>
    <row r="538">
      <c r="A538" s="7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</row>
    <row r="539">
      <c r="A539" s="7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</row>
    <row r="540">
      <c r="A540" s="7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</row>
    <row r="541">
      <c r="A541" s="7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</row>
    <row r="542">
      <c r="A542" s="7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</row>
    <row r="543">
      <c r="A543" s="7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</row>
    <row r="544">
      <c r="A544" s="7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</row>
    <row r="545">
      <c r="A545" s="7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</row>
    <row r="546">
      <c r="A546" s="7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</row>
    <row r="547">
      <c r="A547" s="7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</row>
    <row r="548">
      <c r="A548" s="7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</row>
    <row r="549">
      <c r="A549" s="7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</row>
    <row r="550">
      <c r="A550" s="7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</row>
    <row r="551">
      <c r="A551" s="7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</row>
    <row r="552">
      <c r="A552" s="7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</row>
    <row r="553">
      <c r="A553" s="7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</row>
    <row r="554">
      <c r="A554" s="7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</row>
    <row r="555">
      <c r="A555" s="7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</row>
    <row r="556">
      <c r="A556" s="7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</row>
    <row r="557">
      <c r="A557" s="7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</row>
    <row r="558">
      <c r="A558" s="7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</row>
    <row r="559">
      <c r="A559" s="7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</row>
    <row r="560">
      <c r="A560" s="7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</row>
    <row r="561">
      <c r="A561" s="7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</row>
    <row r="562">
      <c r="A562" s="7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</row>
    <row r="563">
      <c r="A563" s="7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</row>
    <row r="564">
      <c r="A564" s="7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</row>
    <row r="565">
      <c r="A565" s="7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</row>
    <row r="566">
      <c r="A566" s="7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</row>
    <row r="567">
      <c r="A567" s="7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</row>
    <row r="568">
      <c r="A568" s="7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</row>
    <row r="569">
      <c r="A569" s="7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</row>
    <row r="570">
      <c r="A570" s="7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</row>
    <row r="571">
      <c r="A571" s="7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</row>
    <row r="572">
      <c r="A572" s="7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</row>
    <row r="573">
      <c r="A573" s="7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</row>
    <row r="574">
      <c r="A574" s="7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</row>
    <row r="575">
      <c r="A575" s="7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</row>
    <row r="576">
      <c r="A576" s="7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</row>
    <row r="577">
      <c r="A577" s="7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</row>
    <row r="578">
      <c r="A578" s="7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</row>
    <row r="579">
      <c r="A579" s="7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</row>
    <row r="580">
      <c r="A580" s="7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</row>
    <row r="581">
      <c r="A581" s="7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</row>
    <row r="582">
      <c r="A582" s="7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</row>
    <row r="583">
      <c r="A583" s="7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</row>
    <row r="584">
      <c r="A584" s="7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</row>
    <row r="585">
      <c r="A585" s="7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</row>
    <row r="586">
      <c r="A586" s="7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</row>
    <row r="587">
      <c r="A587" s="7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</row>
    <row r="588">
      <c r="A588" s="7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</row>
    <row r="589">
      <c r="A589" s="7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</row>
    <row r="590">
      <c r="A590" s="7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</row>
    <row r="591">
      <c r="A591" s="7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</row>
    <row r="592">
      <c r="A592" s="7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</row>
    <row r="593">
      <c r="A593" s="7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</row>
    <row r="594">
      <c r="A594" s="7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</row>
    <row r="595">
      <c r="A595" s="7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</row>
    <row r="596">
      <c r="A596" s="7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</row>
    <row r="597">
      <c r="A597" s="7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</row>
    <row r="598">
      <c r="A598" s="7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</row>
    <row r="599">
      <c r="A599" s="7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</row>
    <row r="600">
      <c r="A600" s="7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</row>
    <row r="601">
      <c r="A601" s="7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</row>
    <row r="602">
      <c r="A602" s="7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</row>
    <row r="603">
      <c r="A603" s="7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</row>
    <row r="604">
      <c r="A604" s="7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</row>
    <row r="605">
      <c r="A605" s="7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</row>
    <row r="606">
      <c r="A606" s="7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</row>
    <row r="607">
      <c r="A607" s="7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</row>
    <row r="608">
      <c r="A608" s="7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</row>
    <row r="609">
      <c r="A609" s="7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</row>
    <row r="610">
      <c r="A610" s="7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</row>
    <row r="611">
      <c r="A611" s="7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</row>
    <row r="612">
      <c r="A612" s="7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</row>
    <row r="613">
      <c r="A613" s="7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</row>
    <row r="614">
      <c r="A614" s="7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</row>
    <row r="615">
      <c r="A615" s="7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</row>
    <row r="616">
      <c r="A616" s="7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</row>
    <row r="617">
      <c r="A617" s="7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</row>
    <row r="618">
      <c r="A618" s="7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</row>
    <row r="619">
      <c r="A619" s="7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</row>
    <row r="620">
      <c r="A620" s="7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</row>
    <row r="621">
      <c r="A621" s="7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</row>
    <row r="622">
      <c r="A622" s="7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</row>
    <row r="623">
      <c r="A623" s="7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</row>
    <row r="624">
      <c r="A624" s="7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</row>
    <row r="625">
      <c r="A625" s="7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</row>
    <row r="626">
      <c r="A626" s="7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</row>
    <row r="627">
      <c r="A627" s="7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</row>
    <row r="628">
      <c r="A628" s="7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</row>
    <row r="629">
      <c r="A629" s="7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</row>
    <row r="630">
      <c r="A630" s="7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</row>
    <row r="631">
      <c r="A631" s="7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</row>
    <row r="632">
      <c r="A632" s="7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</row>
    <row r="633">
      <c r="A633" s="7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</row>
    <row r="634">
      <c r="A634" s="7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</row>
    <row r="635">
      <c r="A635" s="7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</row>
    <row r="636">
      <c r="A636" s="7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</row>
    <row r="637">
      <c r="A637" s="7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</row>
    <row r="638">
      <c r="A638" s="7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</row>
    <row r="639">
      <c r="A639" s="7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</row>
    <row r="640">
      <c r="A640" s="7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</row>
    <row r="641">
      <c r="A641" s="7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</row>
    <row r="642">
      <c r="A642" s="7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</row>
    <row r="643">
      <c r="A643" s="7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</row>
    <row r="644">
      <c r="A644" s="7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</row>
    <row r="645">
      <c r="A645" s="7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</row>
    <row r="646">
      <c r="A646" s="7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</row>
    <row r="647">
      <c r="A647" s="7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</row>
    <row r="648">
      <c r="A648" s="7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</row>
    <row r="649">
      <c r="A649" s="7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</row>
    <row r="650">
      <c r="A650" s="7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</row>
    <row r="651">
      <c r="A651" s="7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</row>
    <row r="652">
      <c r="A652" s="7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</row>
    <row r="653">
      <c r="A653" s="7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</row>
    <row r="654">
      <c r="A654" s="7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</row>
    <row r="655">
      <c r="A655" s="7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</row>
    <row r="656">
      <c r="A656" s="7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</row>
    <row r="657">
      <c r="A657" s="7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</row>
    <row r="658">
      <c r="A658" s="7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</row>
    <row r="659">
      <c r="A659" s="7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</row>
    <row r="660">
      <c r="A660" s="7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</row>
    <row r="661">
      <c r="A661" s="7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</row>
    <row r="662">
      <c r="A662" s="7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</row>
    <row r="663">
      <c r="A663" s="7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</row>
    <row r="664">
      <c r="A664" s="7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</row>
    <row r="665">
      <c r="A665" s="7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</row>
    <row r="666">
      <c r="A666" s="7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</row>
    <row r="667">
      <c r="A667" s="7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</row>
    <row r="668">
      <c r="A668" s="7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</row>
    <row r="669">
      <c r="A669" s="7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</row>
    <row r="670">
      <c r="A670" s="7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</row>
    <row r="671">
      <c r="A671" s="7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</row>
    <row r="672">
      <c r="A672" s="7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</row>
    <row r="673">
      <c r="A673" s="7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</row>
    <row r="674">
      <c r="A674" s="7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</row>
    <row r="675">
      <c r="A675" s="7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</row>
    <row r="676">
      <c r="A676" s="7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</row>
    <row r="677">
      <c r="A677" s="7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</row>
    <row r="678">
      <c r="A678" s="7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</row>
    <row r="679">
      <c r="A679" s="7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</row>
    <row r="680">
      <c r="A680" s="7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</row>
    <row r="681">
      <c r="A681" s="7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</row>
    <row r="682">
      <c r="A682" s="7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</row>
    <row r="683">
      <c r="A683" s="7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</row>
    <row r="684">
      <c r="A684" s="7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</row>
    <row r="685">
      <c r="A685" s="7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</row>
    <row r="686">
      <c r="A686" s="7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</row>
    <row r="687">
      <c r="A687" s="7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</row>
    <row r="688">
      <c r="A688" s="7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</row>
    <row r="689">
      <c r="A689" s="7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</row>
    <row r="690">
      <c r="A690" s="7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</row>
    <row r="691">
      <c r="A691" s="7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</row>
    <row r="692">
      <c r="A692" s="7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</row>
    <row r="693">
      <c r="A693" s="7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</row>
    <row r="694">
      <c r="A694" s="7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</row>
    <row r="695">
      <c r="A695" s="7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</row>
    <row r="696">
      <c r="A696" s="7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</row>
    <row r="697">
      <c r="A697" s="7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</row>
    <row r="698">
      <c r="A698" s="7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</row>
    <row r="699">
      <c r="A699" s="7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</row>
    <row r="700">
      <c r="A700" s="7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</row>
    <row r="701">
      <c r="A701" s="7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</row>
    <row r="702">
      <c r="A702" s="7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</row>
    <row r="703">
      <c r="A703" s="7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</row>
    <row r="704">
      <c r="A704" s="7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</row>
    <row r="705">
      <c r="A705" s="7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</row>
    <row r="706">
      <c r="A706" s="7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</row>
    <row r="707">
      <c r="A707" s="7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</row>
    <row r="708">
      <c r="A708" s="7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</row>
    <row r="709">
      <c r="A709" s="7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</row>
    <row r="710">
      <c r="A710" s="7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</row>
    <row r="711">
      <c r="A711" s="7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</row>
    <row r="712">
      <c r="A712" s="7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</row>
    <row r="713">
      <c r="A713" s="7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</row>
    <row r="714">
      <c r="A714" s="7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</row>
    <row r="715">
      <c r="A715" s="7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</row>
    <row r="716">
      <c r="A716" s="7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</row>
    <row r="717">
      <c r="A717" s="7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</row>
    <row r="718">
      <c r="A718" s="7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</row>
    <row r="719">
      <c r="A719" s="7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</row>
    <row r="720">
      <c r="A720" s="7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</row>
    <row r="721">
      <c r="A721" s="7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</row>
    <row r="722">
      <c r="A722" s="7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</row>
    <row r="723">
      <c r="A723" s="7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</row>
    <row r="724">
      <c r="A724" s="7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</row>
    <row r="725">
      <c r="A725" s="7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</row>
    <row r="726">
      <c r="A726" s="7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</row>
    <row r="727">
      <c r="A727" s="7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</row>
    <row r="728">
      <c r="A728" s="7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</row>
    <row r="729">
      <c r="A729" s="7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</row>
    <row r="730">
      <c r="A730" s="7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</row>
    <row r="731">
      <c r="A731" s="7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</row>
    <row r="732">
      <c r="A732" s="7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</row>
    <row r="733">
      <c r="A733" s="7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</row>
    <row r="734">
      <c r="A734" s="7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</row>
    <row r="735">
      <c r="A735" s="7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</row>
    <row r="736">
      <c r="A736" s="7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</row>
    <row r="737">
      <c r="A737" s="7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</row>
    <row r="738">
      <c r="A738" s="7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</row>
    <row r="739">
      <c r="A739" s="7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</row>
    <row r="740">
      <c r="A740" s="7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</row>
    <row r="741">
      <c r="A741" s="7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</row>
    <row r="742">
      <c r="A742" s="7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</row>
    <row r="743">
      <c r="A743" s="7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</row>
    <row r="744">
      <c r="A744" s="7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</row>
    <row r="745">
      <c r="A745" s="7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</row>
    <row r="746">
      <c r="A746" s="7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</row>
    <row r="747">
      <c r="A747" s="7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</row>
    <row r="748">
      <c r="A748" s="7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</row>
    <row r="749">
      <c r="A749" s="7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</row>
    <row r="750">
      <c r="A750" s="7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</row>
    <row r="751">
      <c r="A751" s="7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</row>
    <row r="752">
      <c r="A752" s="7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</row>
    <row r="753">
      <c r="A753" s="7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</row>
    <row r="754">
      <c r="A754" s="7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</row>
    <row r="755">
      <c r="A755" s="7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</row>
    <row r="756">
      <c r="A756" s="7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</row>
    <row r="757">
      <c r="A757" s="7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</row>
    <row r="758">
      <c r="A758" s="7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</row>
    <row r="759">
      <c r="A759" s="7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</row>
    <row r="760">
      <c r="A760" s="7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</row>
    <row r="761">
      <c r="A761" s="7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</row>
    <row r="762">
      <c r="A762" s="7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</row>
    <row r="763">
      <c r="A763" s="7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</row>
    <row r="764">
      <c r="A764" s="7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</row>
    <row r="765">
      <c r="A765" s="7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</row>
    <row r="766">
      <c r="A766" s="7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</row>
    <row r="767">
      <c r="A767" s="7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</row>
    <row r="768">
      <c r="A768" s="7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</row>
    <row r="769">
      <c r="A769" s="7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</row>
    <row r="770">
      <c r="A770" s="7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</row>
    <row r="771">
      <c r="A771" s="7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</row>
    <row r="772">
      <c r="A772" s="7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</row>
    <row r="773">
      <c r="A773" s="7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</row>
    <row r="774">
      <c r="A774" s="7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</row>
    <row r="775">
      <c r="A775" s="7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</row>
    <row r="776">
      <c r="A776" s="7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</row>
    <row r="777">
      <c r="A777" s="7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</row>
    <row r="778">
      <c r="A778" s="7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</row>
    <row r="779">
      <c r="A779" s="7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</row>
    <row r="780">
      <c r="A780" s="7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</row>
    <row r="781">
      <c r="A781" s="7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</row>
    <row r="782">
      <c r="A782" s="7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</row>
    <row r="783">
      <c r="A783" s="7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</row>
    <row r="784">
      <c r="A784" s="7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</row>
    <row r="785">
      <c r="A785" s="7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</row>
    <row r="786">
      <c r="A786" s="7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</row>
    <row r="787">
      <c r="A787" s="7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</row>
    <row r="788">
      <c r="A788" s="7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</row>
    <row r="789">
      <c r="A789" s="7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</row>
    <row r="790">
      <c r="A790" s="7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</row>
    <row r="791">
      <c r="A791" s="7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</row>
    <row r="792">
      <c r="A792" s="7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</row>
    <row r="793">
      <c r="A793" s="7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</row>
    <row r="794">
      <c r="A794" s="7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</row>
    <row r="795">
      <c r="A795" s="7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</row>
    <row r="796">
      <c r="A796" s="7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</row>
    <row r="797">
      <c r="A797" s="7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</row>
    <row r="798">
      <c r="A798" s="7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</row>
    <row r="799">
      <c r="A799" s="7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</row>
    <row r="800">
      <c r="A800" s="7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</row>
    <row r="801">
      <c r="A801" s="7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</row>
    <row r="802">
      <c r="A802" s="7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</row>
    <row r="803">
      <c r="A803" s="7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</row>
    <row r="804">
      <c r="A804" s="7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</row>
    <row r="805">
      <c r="A805" s="7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</row>
    <row r="806">
      <c r="A806" s="7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</row>
    <row r="807">
      <c r="A807" s="7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</row>
    <row r="808">
      <c r="A808" s="7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</row>
    <row r="809">
      <c r="A809" s="7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</row>
    <row r="810">
      <c r="A810" s="7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</row>
    <row r="811">
      <c r="A811" s="7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</row>
    <row r="812">
      <c r="A812" s="7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</row>
    <row r="813">
      <c r="A813" s="7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</row>
    <row r="814">
      <c r="A814" s="7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</row>
    <row r="815">
      <c r="A815" s="7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</row>
    <row r="816">
      <c r="A816" s="7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</row>
    <row r="817">
      <c r="A817" s="7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</row>
    <row r="818">
      <c r="A818" s="7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</row>
    <row r="819">
      <c r="A819" s="7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</row>
    <row r="820">
      <c r="A820" s="7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</row>
    <row r="821">
      <c r="A821" s="7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</row>
    <row r="822">
      <c r="A822" s="7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</row>
    <row r="823">
      <c r="A823" s="7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</row>
    <row r="824">
      <c r="A824" s="7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</row>
    <row r="825">
      <c r="A825" s="7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</row>
    <row r="826">
      <c r="A826" s="7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</row>
    <row r="827">
      <c r="A827" s="7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</row>
    <row r="828">
      <c r="A828" s="7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</row>
    <row r="829">
      <c r="A829" s="7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</row>
    <row r="830">
      <c r="A830" s="7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</row>
    <row r="831">
      <c r="A831" s="7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</row>
    <row r="832">
      <c r="A832" s="7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</row>
    <row r="833">
      <c r="A833" s="7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</row>
    <row r="834">
      <c r="A834" s="7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</row>
    <row r="835">
      <c r="A835" s="7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</row>
    <row r="836">
      <c r="A836" s="7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</row>
    <row r="837">
      <c r="A837" s="7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</row>
    <row r="838">
      <c r="A838" s="7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</row>
    <row r="839">
      <c r="A839" s="7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</row>
    <row r="840">
      <c r="A840" s="7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</row>
    <row r="841">
      <c r="A841" s="7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</row>
    <row r="842">
      <c r="A842" s="7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</row>
    <row r="843">
      <c r="A843" s="7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</row>
    <row r="844">
      <c r="A844" s="7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</row>
    <row r="845">
      <c r="A845" s="7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</row>
    <row r="846">
      <c r="A846" s="7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</row>
    <row r="847">
      <c r="A847" s="7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</row>
    <row r="848">
      <c r="A848" s="7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</row>
    <row r="849">
      <c r="A849" s="7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</row>
    <row r="850">
      <c r="A850" s="7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</row>
    <row r="851">
      <c r="A851" s="7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</row>
    <row r="852">
      <c r="A852" s="7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</row>
    <row r="853">
      <c r="A853" s="7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</row>
    <row r="854">
      <c r="A854" s="7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</row>
    <row r="855">
      <c r="A855" s="7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</row>
    <row r="856">
      <c r="A856" s="7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</row>
    <row r="857">
      <c r="A857" s="7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</row>
    <row r="858">
      <c r="A858" s="7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</row>
    <row r="859">
      <c r="A859" s="7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</row>
    <row r="860">
      <c r="A860" s="7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</row>
    <row r="861">
      <c r="A861" s="7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</row>
    <row r="862">
      <c r="A862" s="7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</row>
    <row r="863">
      <c r="A863" s="7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</row>
    <row r="864">
      <c r="A864" s="7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</row>
    <row r="865">
      <c r="A865" s="7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</row>
    <row r="866">
      <c r="A866" s="7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</row>
    <row r="867">
      <c r="A867" s="7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</row>
    <row r="868">
      <c r="A868" s="7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</row>
    <row r="869">
      <c r="A869" s="7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</row>
    <row r="870">
      <c r="A870" s="7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</row>
    <row r="871">
      <c r="A871" s="7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</row>
    <row r="872">
      <c r="A872" s="7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</row>
    <row r="873">
      <c r="A873" s="7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</row>
    <row r="874">
      <c r="A874" s="7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</row>
    <row r="875">
      <c r="A875" s="7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</row>
    <row r="876">
      <c r="A876" s="7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</row>
    <row r="877">
      <c r="A877" s="7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</row>
    <row r="878">
      <c r="A878" s="7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</row>
    <row r="879">
      <c r="A879" s="7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</row>
    <row r="880">
      <c r="A880" s="7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</row>
    <row r="881">
      <c r="A881" s="7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</row>
    <row r="882">
      <c r="A882" s="7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</row>
    <row r="883">
      <c r="A883" s="7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</row>
    <row r="884">
      <c r="A884" s="7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</row>
    <row r="885">
      <c r="A885" s="7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</row>
    <row r="886">
      <c r="A886" s="7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</row>
    <row r="887">
      <c r="A887" s="7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</row>
    <row r="888">
      <c r="A888" s="7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</row>
    <row r="889">
      <c r="A889" s="7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</row>
    <row r="890">
      <c r="A890" s="7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</row>
    <row r="891">
      <c r="A891" s="7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</row>
    <row r="892">
      <c r="A892" s="7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</row>
    <row r="893">
      <c r="A893" s="7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</row>
    <row r="894">
      <c r="A894" s="7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</row>
    <row r="895">
      <c r="A895" s="7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</row>
    <row r="896">
      <c r="A896" s="7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</row>
    <row r="897">
      <c r="A897" s="7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</row>
    <row r="898">
      <c r="A898" s="7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</row>
    <row r="899">
      <c r="A899" s="7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</row>
    <row r="900">
      <c r="A900" s="7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</row>
    <row r="901">
      <c r="A901" s="7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</row>
    <row r="902">
      <c r="A902" s="7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</row>
    <row r="903">
      <c r="A903" s="7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</row>
    <row r="904">
      <c r="A904" s="7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</row>
    <row r="905">
      <c r="A905" s="7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</row>
    <row r="906">
      <c r="A906" s="7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</row>
    <row r="907">
      <c r="A907" s="7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</row>
    <row r="908">
      <c r="A908" s="7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</row>
    <row r="909">
      <c r="A909" s="7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</row>
    <row r="910">
      <c r="A910" s="7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</row>
    <row r="911">
      <c r="A911" s="7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</row>
    <row r="912">
      <c r="A912" s="7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</row>
    <row r="913">
      <c r="A913" s="7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</row>
    <row r="914">
      <c r="A914" s="7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</row>
    <row r="915">
      <c r="A915" s="7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</row>
    <row r="916">
      <c r="A916" s="7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</row>
    <row r="917">
      <c r="A917" s="7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</row>
    <row r="918">
      <c r="A918" s="7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</row>
    <row r="919">
      <c r="A919" s="7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</row>
    <row r="920">
      <c r="A920" s="7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</row>
    <row r="921">
      <c r="A921" s="7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</row>
    <row r="922">
      <c r="A922" s="7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</row>
    <row r="923">
      <c r="A923" s="7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</row>
    <row r="924">
      <c r="A924" s="7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</row>
    <row r="925">
      <c r="A925" s="7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</row>
    <row r="926">
      <c r="A926" s="7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</row>
    <row r="927">
      <c r="A927" s="7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</row>
    <row r="928">
      <c r="A928" s="7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</row>
    <row r="929">
      <c r="A929" s="7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</row>
    <row r="930">
      <c r="A930" s="7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</row>
    <row r="931">
      <c r="A931" s="7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</row>
    <row r="932">
      <c r="A932" s="7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</row>
    <row r="933">
      <c r="A933" s="7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</row>
    <row r="934">
      <c r="A934" s="7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</row>
    <row r="935">
      <c r="A935" s="7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</row>
    <row r="936">
      <c r="A936" s="7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</row>
    <row r="937">
      <c r="A937" s="7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</row>
    <row r="938">
      <c r="A938" s="7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</row>
    <row r="939">
      <c r="A939" s="7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</row>
    <row r="940">
      <c r="A940" s="7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</row>
    <row r="941">
      <c r="A941" s="7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</row>
    <row r="942">
      <c r="A942" s="7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</row>
    <row r="943">
      <c r="A943" s="7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</row>
    <row r="944">
      <c r="A944" s="7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</row>
    <row r="945">
      <c r="A945" s="7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</row>
    <row r="946">
      <c r="A946" s="7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</row>
    <row r="947">
      <c r="A947" s="7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</row>
    <row r="948">
      <c r="A948" s="7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</row>
    <row r="949">
      <c r="A949" s="7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</row>
    <row r="950">
      <c r="A950" s="7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</row>
    <row r="951">
      <c r="A951" s="7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</row>
    <row r="952">
      <c r="A952" s="7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</row>
    <row r="953">
      <c r="A953" s="7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</row>
    <row r="954">
      <c r="A954" s="7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</row>
    <row r="955">
      <c r="A955" s="7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</row>
    <row r="956">
      <c r="A956" s="7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</row>
    <row r="957">
      <c r="A957" s="7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</row>
    <row r="958">
      <c r="A958" s="7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</row>
    <row r="959">
      <c r="A959" s="7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</row>
    <row r="960">
      <c r="A960" s="7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</row>
    <row r="961">
      <c r="A961" s="7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</row>
    <row r="962">
      <c r="A962" s="7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</row>
    <row r="963">
      <c r="A963" s="7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</row>
    <row r="964">
      <c r="A964" s="7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</row>
    <row r="965">
      <c r="A965" s="7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</row>
    <row r="966">
      <c r="A966" s="7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</row>
    <row r="967">
      <c r="A967" s="7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</row>
    <row r="968">
      <c r="A968" s="7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</row>
    <row r="969">
      <c r="A969" s="7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</row>
    <row r="970">
      <c r="A970" s="7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</row>
    <row r="971">
      <c r="A971" s="7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</row>
    <row r="972">
      <c r="A972" s="7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</row>
    <row r="973">
      <c r="A973" s="7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</row>
    <row r="974">
      <c r="A974" s="7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</row>
    <row r="975">
      <c r="A975" s="7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</row>
    <row r="976">
      <c r="A976" s="7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</row>
    <row r="977">
      <c r="A977" s="7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</row>
    <row r="978">
      <c r="A978" s="7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</row>
    <row r="979">
      <c r="A979" s="7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</row>
    <row r="980">
      <c r="A980" s="7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</row>
    <row r="981">
      <c r="A981" s="7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</row>
    <row r="982">
      <c r="A982" s="7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</row>
    <row r="983">
      <c r="A983" s="7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</row>
    <row r="984">
      <c r="A984" s="7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</row>
    <row r="985">
      <c r="A985" s="7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</row>
    <row r="986">
      <c r="A986" s="7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</row>
    <row r="987">
      <c r="A987" s="7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</row>
    <row r="988">
      <c r="A988" s="7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</row>
    <row r="989">
      <c r="A989" s="7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</row>
    <row r="990">
      <c r="A990" s="7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</row>
    <row r="991">
      <c r="A991" s="7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</row>
    <row r="992">
      <c r="A992" s="7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</row>
    <row r="993">
      <c r="A993" s="7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</row>
    <row r="994">
      <c r="A994" s="7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</row>
    <row r="995">
      <c r="A995" s="7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</row>
    <row r="996">
      <c r="A996" s="7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</row>
    <row r="997">
      <c r="A997" s="7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</row>
    <row r="998">
      <c r="A998" s="7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</row>
    <row r="999">
      <c r="A999" s="7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</row>
    <row r="1000">
      <c r="A1000" s="7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</row>
    <row r="1001">
      <c r="A1001" s="7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</row>
    <row r="1002">
      <c r="A1002" s="7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</row>
    <row r="1003">
      <c r="A1003" s="7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</row>
    <row r="1004">
      <c r="A1004" s="7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</row>
    <row r="1005">
      <c r="A1005" s="7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</row>
    <row r="1006">
      <c r="A1006" s="7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</row>
    <row r="1007">
      <c r="A1007" s="7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</row>
    <row r="1008">
      <c r="A1008" s="7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</row>
    <row r="1009">
      <c r="A1009" s="7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</row>
    <row r="1010">
      <c r="A1010" s="7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</row>
    <row r="1011">
      <c r="A1011" s="7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</row>
    <row r="1012">
      <c r="A1012" s="7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</row>
    <row r="1013">
      <c r="A1013" s="7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</row>
    <row r="1014">
      <c r="A1014" s="7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</row>
    <row r="1015">
      <c r="A1015" s="7"/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  <c r="L1015" s="21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</row>
    <row r="1016">
      <c r="A1016" s="7"/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  <c r="L1016" s="21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</row>
    <row r="1017">
      <c r="A1017" s="7"/>
      <c r="B1017" s="21"/>
      <c r="C1017" s="21"/>
      <c r="D1017" s="21"/>
      <c r="E1017" s="21"/>
      <c r="F1017" s="21"/>
      <c r="G1017" s="21"/>
      <c r="H1017" s="21"/>
      <c r="I1017" s="21"/>
      <c r="J1017" s="21"/>
      <c r="K1017" s="21"/>
      <c r="L1017" s="21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</row>
    <row r="1018">
      <c r="A1018" s="7"/>
      <c r="B1018" s="21"/>
      <c r="C1018" s="21"/>
      <c r="D1018" s="21"/>
      <c r="E1018" s="21"/>
      <c r="F1018" s="21"/>
      <c r="G1018" s="21"/>
      <c r="H1018" s="21"/>
      <c r="I1018" s="21"/>
      <c r="J1018" s="21"/>
      <c r="K1018" s="21"/>
      <c r="L1018" s="21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</row>
    <row r="1019">
      <c r="A1019" s="7"/>
      <c r="B1019" s="21"/>
      <c r="C1019" s="21"/>
      <c r="D1019" s="21"/>
      <c r="E1019" s="21"/>
      <c r="F1019" s="21"/>
      <c r="G1019" s="21"/>
      <c r="H1019" s="21"/>
      <c r="I1019" s="21"/>
      <c r="J1019" s="21"/>
      <c r="K1019" s="21"/>
      <c r="L1019" s="21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</row>
    <row r="1020">
      <c r="A1020" s="7"/>
      <c r="B1020" s="21"/>
      <c r="C1020" s="21"/>
      <c r="D1020" s="21"/>
      <c r="E1020" s="21"/>
      <c r="F1020" s="21"/>
      <c r="G1020" s="21"/>
      <c r="H1020" s="21"/>
      <c r="I1020" s="21"/>
      <c r="J1020" s="21"/>
      <c r="K1020" s="21"/>
      <c r="L1020" s="21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</row>
    <row r="1021">
      <c r="A1021" s="7"/>
      <c r="B1021" s="21"/>
      <c r="C1021" s="21"/>
      <c r="D1021" s="21"/>
      <c r="E1021" s="21"/>
      <c r="F1021" s="21"/>
      <c r="G1021" s="21"/>
      <c r="H1021" s="21"/>
      <c r="I1021" s="21"/>
      <c r="J1021" s="21"/>
      <c r="K1021" s="21"/>
      <c r="L1021" s="21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</row>
    <row r="1022">
      <c r="A1022" s="7"/>
      <c r="B1022" s="21"/>
      <c r="C1022" s="21"/>
      <c r="D1022" s="21"/>
      <c r="E1022" s="21"/>
      <c r="F1022" s="21"/>
      <c r="G1022" s="21"/>
      <c r="H1022" s="21"/>
      <c r="I1022" s="21"/>
      <c r="J1022" s="21"/>
      <c r="K1022" s="21"/>
      <c r="L1022" s="21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</row>
    <row r="1023">
      <c r="A1023" s="7"/>
      <c r="B1023" s="21"/>
      <c r="C1023" s="21"/>
      <c r="D1023" s="21"/>
      <c r="E1023" s="21"/>
      <c r="F1023" s="21"/>
      <c r="G1023" s="21"/>
      <c r="H1023" s="21"/>
      <c r="I1023" s="21"/>
      <c r="J1023" s="21"/>
      <c r="K1023" s="21"/>
      <c r="L1023" s="21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</row>
    <row r="1024">
      <c r="A1024" s="7"/>
      <c r="B1024" s="21"/>
      <c r="C1024" s="21"/>
      <c r="D1024" s="21"/>
      <c r="E1024" s="21"/>
      <c r="F1024" s="21"/>
      <c r="G1024" s="21"/>
      <c r="H1024" s="21"/>
      <c r="I1024" s="21"/>
      <c r="J1024" s="21"/>
      <c r="K1024" s="21"/>
      <c r="L1024" s="21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</row>
    <row r="1025">
      <c r="A1025" s="7"/>
      <c r="B1025" s="21"/>
      <c r="C1025" s="21"/>
      <c r="D1025" s="21"/>
      <c r="E1025" s="21"/>
      <c r="F1025" s="21"/>
      <c r="G1025" s="21"/>
      <c r="H1025" s="21"/>
      <c r="I1025" s="21"/>
      <c r="J1025" s="21"/>
      <c r="K1025" s="21"/>
      <c r="L1025" s="21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</row>
    <row r="1026">
      <c r="A1026" s="7"/>
      <c r="B1026" s="21"/>
      <c r="C1026" s="21"/>
      <c r="D1026" s="21"/>
      <c r="E1026" s="21"/>
      <c r="F1026" s="21"/>
      <c r="G1026" s="21"/>
      <c r="H1026" s="21"/>
      <c r="I1026" s="21"/>
      <c r="J1026" s="21"/>
      <c r="K1026" s="21"/>
      <c r="L1026" s="21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</row>
    <row r="1027">
      <c r="A1027" s="7"/>
      <c r="B1027" s="21"/>
      <c r="C1027" s="21"/>
      <c r="D1027" s="21"/>
      <c r="E1027" s="21"/>
      <c r="F1027" s="21"/>
      <c r="G1027" s="21"/>
      <c r="H1027" s="21"/>
      <c r="I1027" s="21"/>
      <c r="J1027" s="21"/>
      <c r="K1027" s="21"/>
      <c r="L1027" s="21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</row>
    <row r="1028">
      <c r="A1028" s="7"/>
      <c r="B1028" s="21"/>
      <c r="C1028" s="21"/>
      <c r="D1028" s="21"/>
      <c r="E1028" s="21"/>
      <c r="F1028" s="21"/>
      <c r="G1028" s="21"/>
      <c r="H1028" s="21"/>
      <c r="I1028" s="21"/>
      <c r="J1028" s="21"/>
      <c r="K1028" s="21"/>
      <c r="L1028" s="21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</row>
    <row r="1029">
      <c r="A1029" s="7"/>
      <c r="B1029" s="21"/>
      <c r="C1029" s="21"/>
      <c r="D1029" s="21"/>
      <c r="E1029" s="21"/>
      <c r="F1029" s="21"/>
      <c r="G1029" s="21"/>
      <c r="H1029" s="21"/>
      <c r="I1029" s="21"/>
      <c r="J1029" s="21"/>
      <c r="K1029" s="21"/>
      <c r="L1029" s="21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</row>
    <row r="1030">
      <c r="A1030" s="7"/>
      <c r="B1030" s="21"/>
      <c r="C1030" s="21"/>
      <c r="D1030" s="21"/>
      <c r="E1030" s="21"/>
      <c r="F1030" s="21"/>
      <c r="G1030" s="21"/>
      <c r="H1030" s="21"/>
      <c r="I1030" s="21"/>
      <c r="J1030" s="21"/>
      <c r="K1030" s="21"/>
      <c r="L1030" s="21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</row>
    <row r="1031">
      <c r="A1031" s="7"/>
      <c r="B1031" s="21"/>
      <c r="C1031" s="21"/>
      <c r="D1031" s="21"/>
      <c r="E1031" s="21"/>
      <c r="F1031" s="21"/>
      <c r="G1031" s="21"/>
      <c r="H1031" s="21"/>
      <c r="I1031" s="21"/>
      <c r="J1031" s="21"/>
      <c r="K1031" s="21"/>
      <c r="L1031" s="21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</row>
    <row r="1032">
      <c r="A1032" s="7"/>
      <c r="B1032" s="21"/>
      <c r="C1032" s="21"/>
      <c r="D1032" s="21"/>
      <c r="E1032" s="21"/>
      <c r="F1032" s="21"/>
      <c r="G1032" s="21"/>
      <c r="H1032" s="21"/>
      <c r="I1032" s="21"/>
      <c r="J1032" s="21"/>
      <c r="K1032" s="21"/>
      <c r="L1032" s="21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</row>
    <row r="1033">
      <c r="A1033" s="7"/>
      <c r="B1033" s="21"/>
      <c r="C1033" s="21"/>
      <c r="D1033" s="21"/>
      <c r="E1033" s="21"/>
      <c r="F1033" s="21"/>
      <c r="G1033" s="21"/>
      <c r="H1033" s="21"/>
      <c r="I1033" s="21"/>
      <c r="J1033" s="21"/>
      <c r="K1033" s="21"/>
      <c r="L1033" s="21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</row>
    <row r="1034">
      <c r="A1034" s="7"/>
      <c r="B1034" s="21"/>
      <c r="C1034" s="21"/>
      <c r="D1034" s="21"/>
      <c r="E1034" s="21"/>
      <c r="F1034" s="21"/>
      <c r="G1034" s="21"/>
      <c r="H1034" s="21"/>
      <c r="I1034" s="21"/>
      <c r="J1034" s="21"/>
      <c r="K1034" s="21"/>
      <c r="L1034" s="21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</row>
    <row r="1035">
      <c r="A1035" s="7"/>
      <c r="B1035" s="21"/>
      <c r="C1035" s="21"/>
      <c r="D1035" s="21"/>
      <c r="E1035" s="21"/>
      <c r="F1035" s="21"/>
      <c r="G1035" s="21"/>
      <c r="H1035" s="21"/>
      <c r="I1035" s="21"/>
      <c r="J1035" s="21"/>
      <c r="K1035" s="21"/>
      <c r="L1035" s="21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</row>
    <row r="1036">
      <c r="A1036" s="7"/>
      <c r="B1036" s="21"/>
      <c r="C1036" s="21"/>
      <c r="D1036" s="21"/>
      <c r="E1036" s="21"/>
      <c r="F1036" s="21"/>
      <c r="G1036" s="21"/>
      <c r="H1036" s="21"/>
      <c r="I1036" s="21"/>
      <c r="J1036" s="21"/>
      <c r="K1036" s="21"/>
      <c r="L1036" s="21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</row>
    <row r="1037">
      <c r="A1037" s="7"/>
      <c r="B1037" s="21"/>
      <c r="C1037" s="21"/>
      <c r="D1037" s="21"/>
      <c r="E1037" s="21"/>
      <c r="F1037" s="21"/>
      <c r="G1037" s="21"/>
      <c r="H1037" s="21"/>
      <c r="I1037" s="21"/>
      <c r="J1037" s="21"/>
      <c r="K1037" s="21"/>
      <c r="L1037" s="21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</row>
    <row r="1038">
      <c r="A1038" s="7"/>
      <c r="B1038" s="21"/>
      <c r="C1038" s="21"/>
      <c r="D1038" s="21"/>
      <c r="E1038" s="21"/>
      <c r="F1038" s="21"/>
      <c r="G1038" s="21"/>
      <c r="H1038" s="21"/>
      <c r="I1038" s="21"/>
      <c r="J1038" s="21"/>
      <c r="K1038" s="21"/>
      <c r="L1038" s="21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</row>
    <row r="1039">
      <c r="A1039" s="7"/>
      <c r="B1039" s="21"/>
      <c r="C1039" s="21"/>
      <c r="D1039" s="21"/>
      <c r="E1039" s="21"/>
      <c r="F1039" s="21"/>
      <c r="G1039" s="21"/>
      <c r="H1039" s="21"/>
      <c r="I1039" s="21"/>
      <c r="J1039" s="21"/>
      <c r="K1039" s="21"/>
      <c r="L1039" s="21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</row>
    <row r="1040">
      <c r="A1040" s="7"/>
      <c r="B1040" s="21"/>
      <c r="C1040" s="21"/>
      <c r="D1040" s="21"/>
      <c r="E1040" s="21"/>
      <c r="F1040" s="21"/>
      <c r="G1040" s="21"/>
      <c r="H1040" s="21"/>
      <c r="I1040" s="21"/>
      <c r="J1040" s="21"/>
      <c r="K1040" s="21"/>
      <c r="L1040" s="21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</row>
    <row r="1041">
      <c r="A1041" s="7"/>
      <c r="B1041" s="21"/>
      <c r="C1041" s="21"/>
      <c r="D1041" s="21"/>
      <c r="E1041" s="21"/>
      <c r="F1041" s="21"/>
      <c r="G1041" s="21"/>
      <c r="H1041" s="21"/>
      <c r="I1041" s="21"/>
      <c r="J1041" s="21"/>
      <c r="K1041" s="21"/>
      <c r="L1041" s="21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</row>
    <row r="1042">
      <c r="A1042" s="7"/>
      <c r="B1042" s="21"/>
      <c r="C1042" s="21"/>
      <c r="D1042" s="21"/>
      <c r="E1042" s="21"/>
      <c r="F1042" s="21"/>
      <c r="G1042" s="21"/>
      <c r="H1042" s="21"/>
      <c r="I1042" s="21"/>
      <c r="J1042" s="21"/>
      <c r="K1042" s="21"/>
      <c r="L1042" s="21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</row>
    <row r="1043">
      <c r="A1043" s="7"/>
      <c r="B1043" s="21"/>
      <c r="C1043" s="21"/>
      <c r="D1043" s="21"/>
      <c r="E1043" s="21"/>
      <c r="F1043" s="21"/>
      <c r="G1043" s="21"/>
      <c r="H1043" s="21"/>
      <c r="I1043" s="21"/>
      <c r="J1043" s="21"/>
      <c r="K1043" s="21"/>
      <c r="L1043" s="21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</row>
    <row r="1044">
      <c r="A1044" s="7"/>
      <c r="B1044" s="21"/>
      <c r="C1044" s="21"/>
      <c r="D1044" s="21"/>
      <c r="E1044" s="21"/>
      <c r="F1044" s="21"/>
      <c r="G1044" s="21"/>
      <c r="H1044" s="21"/>
      <c r="I1044" s="21"/>
      <c r="J1044" s="21"/>
      <c r="K1044" s="21"/>
      <c r="L1044" s="21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</row>
    <row r="1045">
      <c r="A1045" s="7"/>
      <c r="B1045" s="21"/>
      <c r="C1045" s="21"/>
      <c r="D1045" s="21"/>
      <c r="E1045" s="21"/>
      <c r="F1045" s="21"/>
      <c r="G1045" s="21"/>
      <c r="H1045" s="21"/>
      <c r="I1045" s="21"/>
      <c r="J1045" s="21"/>
      <c r="K1045" s="21"/>
      <c r="L1045" s="21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</row>
    <row r="1046">
      <c r="A1046" s="7"/>
      <c r="B1046" s="21"/>
      <c r="C1046" s="21"/>
      <c r="D1046" s="21"/>
      <c r="E1046" s="21"/>
      <c r="F1046" s="21"/>
      <c r="G1046" s="21"/>
      <c r="H1046" s="21"/>
      <c r="I1046" s="21"/>
      <c r="J1046" s="21"/>
      <c r="K1046" s="21"/>
      <c r="L1046" s="21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</row>
    <row r="1047">
      <c r="A1047" s="7"/>
      <c r="B1047" s="21"/>
      <c r="C1047" s="21"/>
      <c r="D1047" s="21"/>
      <c r="E1047" s="21"/>
      <c r="F1047" s="21"/>
      <c r="G1047" s="21"/>
      <c r="H1047" s="21"/>
      <c r="I1047" s="21"/>
      <c r="J1047" s="21"/>
      <c r="K1047" s="21"/>
      <c r="L1047" s="21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</row>
    <row r="1048">
      <c r="A1048" s="7"/>
      <c r="B1048" s="21"/>
      <c r="C1048" s="21"/>
      <c r="D1048" s="21"/>
      <c r="E1048" s="21"/>
      <c r="F1048" s="21"/>
      <c r="G1048" s="21"/>
      <c r="H1048" s="21"/>
      <c r="I1048" s="21"/>
      <c r="J1048" s="21"/>
      <c r="K1048" s="21"/>
      <c r="L1048" s="21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</row>
    <row r="1049">
      <c r="A1049" s="7"/>
      <c r="B1049" s="21"/>
      <c r="C1049" s="21"/>
      <c r="D1049" s="21"/>
      <c r="E1049" s="21"/>
      <c r="F1049" s="21"/>
      <c r="G1049" s="21"/>
      <c r="H1049" s="21"/>
      <c r="I1049" s="21"/>
      <c r="J1049" s="21"/>
      <c r="K1049" s="21"/>
      <c r="L1049" s="21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</row>
    <row r="1050">
      <c r="A1050" s="7"/>
      <c r="B1050" s="21"/>
      <c r="C1050" s="21"/>
      <c r="D1050" s="21"/>
      <c r="E1050" s="21"/>
      <c r="F1050" s="21"/>
      <c r="G1050" s="21"/>
      <c r="H1050" s="21"/>
      <c r="I1050" s="21"/>
      <c r="J1050" s="21"/>
      <c r="K1050" s="21"/>
      <c r="L1050" s="21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</row>
    <row r="1051">
      <c r="A1051" s="7"/>
      <c r="B1051" s="21"/>
      <c r="C1051" s="21"/>
      <c r="D1051" s="21"/>
      <c r="E1051" s="21"/>
      <c r="F1051" s="21"/>
      <c r="G1051" s="21"/>
      <c r="H1051" s="21"/>
      <c r="I1051" s="21"/>
      <c r="J1051" s="21"/>
      <c r="K1051" s="21"/>
      <c r="L1051" s="21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</row>
    <row r="1052">
      <c r="A1052" s="7"/>
      <c r="B1052" s="21"/>
      <c r="C1052" s="21"/>
      <c r="D1052" s="21"/>
      <c r="E1052" s="21"/>
      <c r="F1052" s="21"/>
      <c r="G1052" s="21"/>
      <c r="H1052" s="21"/>
      <c r="I1052" s="21"/>
      <c r="J1052" s="21"/>
      <c r="K1052" s="21"/>
      <c r="L1052" s="21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</row>
    <row r="1053">
      <c r="A1053" s="7"/>
      <c r="B1053" s="21"/>
      <c r="C1053" s="21"/>
      <c r="D1053" s="21"/>
      <c r="E1053" s="21"/>
      <c r="F1053" s="21"/>
      <c r="G1053" s="21"/>
      <c r="H1053" s="21"/>
      <c r="I1053" s="21"/>
      <c r="J1053" s="21"/>
      <c r="K1053" s="21"/>
      <c r="L1053" s="21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</row>
    <row r="1054">
      <c r="A1054" s="7"/>
      <c r="B1054" s="21"/>
      <c r="C1054" s="21"/>
      <c r="D1054" s="21"/>
      <c r="E1054" s="21"/>
      <c r="F1054" s="21"/>
      <c r="G1054" s="21"/>
      <c r="H1054" s="21"/>
      <c r="I1054" s="21"/>
      <c r="J1054" s="21"/>
      <c r="K1054" s="21"/>
      <c r="L1054" s="21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</row>
    <row r="1055">
      <c r="A1055" s="7"/>
      <c r="B1055" s="21"/>
      <c r="C1055" s="21"/>
      <c r="D1055" s="21"/>
      <c r="E1055" s="21"/>
      <c r="F1055" s="21"/>
      <c r="G1055" s="21"/>
      <c r="H1055" s="21"/>
      <c r="I1055" s="21"/>
      <c r="J1055" s="21"/>
      <c r="K1055" s="21"/>
      <c r="L1055" s="21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</row>
    <row r="1056">
      <c r="A1056" s="7"/>
      <c r="B1056" s="21"/>
      <c r="C1056" s="21"/>
      <c r="D1056" s="21"/>
      <c r="E1056" s="21"/>
      <c r="F1056" s="21"/>
      <c r="G1056" s="21"/>
      <c r="H1056" s="21"/>
      <c r="I1056" s="21"/>
      <c r="J1056" s="21"/>
      <c r="K1056" s="21"/>
      <c r="L1056" s="21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</row>
    <row r="1057">
      <c r="A1057" s="7"/>
      <c r="B1057" s="21"/>
      <c r="C1057" s="21"/>
      <c r="D1057" s="21"/>
      <c r="E1057" s="21"/>
      <c r="F1057" s="21"/>
      <c r="G1057" s="21"/>
      <c r="H1057" s="21"/>
      <c r="I1057" s="21"/>
      <c r="J1057" s="21"/>
      <c r="K1057" s="21"/>
      <c r="L1057" s="21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</row>
    <row r="1058">
      <c r="A1058" s="7"/>
      <c r="B1058" s="21"/>
      <c r="C1058" s="21"/>
      <c r="D1058" s="21"/>
      <c r="E1058" s="21"/>
      <c r="F1058" s="21"/>
      <c r="G1058" s="21"/>
      <c r="H1058" s="21"/>
      <c r="I1058" s="21"/>
      <c r="J1058" s="21"/>
      <c r="K1058" s="21"/>
      <c r="L1058" s="21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</row>
    <row r="1059">
      <c r="A1059" s="7"/>
      <c r="B1059" s="21"/>
      <c r="C1059" s="21"/>
      <c r="D1059" s="21"/>
      <c r="E1059" s="21"/>
      <c r="F1059" s="21"/>
      <c r="G1059" s="21"/>
      <c r="H1059" s="21"/>
      <c r="I1059" s="21"/>
      <c r="J1059" s="21"/>
      <c r="K1059" s="21"/>
      <c r="L1059" s="21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</row>
    <row r="1060">
      <c r="A1060" s="7"/>
      <c r="B1060" s="21"/>
      <c r="C1060" s="21"/>
      <c r="D1060" s="21"/>
      <c r="E1060" s="21"/>
      <c r="F1060" s="21"/>
      <c r="G1060" s="21"/>
      <c r="H1060" s="21"/>
      <c r="I1060" s="21"/>
      <c r="J1060" s="21"/>
      <c r="K1060" s="21"/>
      <c r="L1060" s="21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</row>
    <row r="1061">
      <c r="A1061" s="7"/>
      <c r="B1061" s="21"/>
      <c r="C1061" s="21"/>
      <c r="D1061" s="21"/>
      <c r="E1061" s="21"/>
      <c r="F1061" s="21"/>
      <c r="G1061" s="21"/>
      <c r="H1061" s="21"/>
      <c r="I1061" s="21"/>
      <c r="J1061" s="21"/>
      <c r="K1061" s="21"/>
      <c r="L1061" s="21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</row>
    <row r="1062">
      <c r="A1062" s="7"/>
      <c r="B1062" s="21"/>
      <c r="C1062" s="21"/>
      <c r="D1062" s="21"/>
      <c r="E1062" s="21"/>
      <c r="F1062" s="21"/>
      <c r="G1062" s="21"/>
      <c r="H1062" s="21"/>
      <c r="I1062" s="21"/>
      <c r="J1062" s="21"/>
      <c r="K1062" s="21"/>
      <c r="L1062" s="21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</row>
    <row r="1063">
      <c r="A1063" s="7"/>
      <c r="B1063" s="21"/>
      <c r="C1063" s="21"/>
      <c r="D1063" s="21"/>
      <c r="E1063" s="21"/>
      <c r="F1063" s="21"/>
      <c r="G1063" s="21"/>
      <c r="H1063" s="21"/>
      <c r="I1063" s="21"/>
      <c r="J1063" s="21"/>
      <c r="K1063" s="21"/>
      <c r="L1063" s="21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</row>
    <row r="1064">
      <c r="A1064" s="7"/>
      <c r="B1064" s="21"/>
      <c r="C1064" s="21"/>
      <c r="D1064" s="21"/>
      <c r="E1064" s="21"/>
      <c r="F1064" s="21"/>
      <c r="G1064" s="21"/>
      <c r="H1064" s="21"/>
      <c r="I1064" s="21"/>
      <c r="J1064" s="21"/>
      <c r="K1064" s="21"/>
      <c r="L1064" s="21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</row>
    <row r="1065">
      <c r="A1065" s="7"/>
      <c r="B1065" s="21"/>
      <c r="C1065" s="21"/>
      <c r="D1065" s="21"/>
      <c r="E1065" s="21"/>
      <c r="F1065" s="21"/>
      <c r="G1065" s="21"/>
      <c r="H1065" s="21"/>
      <c r="I1065" s="21"/>
      <c r="J1065" s="21"/>
      <c r="K1065" s="21"/>
      <c r="L1065" s="21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</row>
    <row r="1066">
      <c r="A1066" s="7"/>
      <c r="B1066" s="21"/>
      <c r="C1066" s="21"/>
      <c r="D1066" s="21"/>
      <c r="E1066" s="21"/>
      <c r="F1066" s="21"/>
      <c r="G1066" s="21"/>
      <c r="H1066" s="21"/>
      <c r="I1066" s="21"/>
      <c r="J1066" s="21"/>
      <c r="K1066" s="21"/>
      <c r="L1066" s="21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</row>
    <row r="1067">
      <c r="A1067" s="7"/>
      <c r="B1067" s="21"/>
      <c r="C1067" s="21"/>
      <c r="D1067" s="21"/>
      <c r="E1067" s="21"/>
      <c r="F1067" s="21"/>
      <c r="G1067" s="21"/>
      <c r="H1067" s="21"/>
      <c r="I1067" s="21"/>
      <c r="J1067" s="21"/>
      <c r="K1067" s="21"/>
      <c r="L1067" s="21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</row>
    <row r="1068">
      <c r="A1068" s="7"/>
      <c r="B1068" s="21"/>
      <c r="C1068" s="21"/>
      <c r="D1068" s="21"/>
      <c r="E1068" s="21"/>
      <c r="F1068" s="21"/>
      <c r="G1068" s="21"/>
      <c r="H1068" s="21"/>
      <c r="I1068" s="21"/>
      <c r="J1068" s="21"/>
      <c r="K1068" s="21"/>
      <c r="L1068" s="21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</row>
    <row r="1069">
      <c r="A1069" s="7"/>
      <c r="B1069" s="21"/>
      <c r="C1069" s="21"/>
      <c r="D1069" s="21"/>
      <c r="E1069" s="21"/>
      <c r="F1069" s="21"/>
      <c r="G1069" s="21"/>
      <c r="H1069" s="21"/>
      <c r="I1069" s="21"/>
      <c r="J1069" s="21"/>
      <c r="K1069" s="21"/>
      <c r="L1069" s="21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</row>
    <row r="1070">
      <c r="A1070" s="7"/>
      <c r="B1070" s="21"/>
      <c r="C1070" s="21"/>
      <c r="D1070" s="21"/>
      <c r="E1070" s="21"/>
      <c r="F1070" s="21"/>
      <c r="G1070" s="21"/>
      <c r="H1070" s="21"/>
      <c r="I1070" s="21"/>
      <c r="J1070" s="21"/>
      <c r="K1070" s="21"/>
      <c r="L1070" s="21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</row>
    <row r="1071">
      <c r="A1071" s="7"/>
      <c r="B1071" s="21"/>
      <c r="C1071" s="21"/>
      <c r="D1071" s="21"/>
      <c r="E1071" s="21"/>
      <c r="F1071" s="21"/>
      <c r="G1071" s="21"/>
      <c r="H1071" s="21"/>
      <c r="I1071" s="21"/>
      <c r="J1071" s="21"/>
      <c r="K1071" s="21"/>
      <c r="L1071" s="21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</row>
    <row r="1072">
      <c r="A1072" s="7"/>
      <c r="B1072" s="21"/>
      <c r="C1072" s="21"/>
      <c r="D1072" s="21"/>
      <c r="E1072" s="21"/>
      <c r="F1072" s="21"/>
      <c r="G1072" s="21"/>
      <c r="H1072" s="21"/>
      <c r="I1072" s="21"/>
      <c r="J1072" s="21"/>
      <c r="K1072" s="21"/>
      <c r="L1072" s="21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</row>
    <row r="1073">
      <c r="A1073" s="7"/>
      <c r="B1073" s="21"/>
      <c r="C1073" s="21"/>
      <c r="D1073" s="21"/>
      <c r="E1073" s="21"/>
      <c r="F1073" s="21"/>
      <c r="G1073" s="21"/>
      <c r="H1073" s="21"/>
      <c r="I1073" s="21"/>
      <c r="J1073" s="21"/>
      <c r="K1073" s="21"/>
      <c r="L1073" s="21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</row>
    <row r="1074">
      <c r="A1074" s="7"/>
      <c r="B1074" s="21"/>
      <c r="C1074" s="21"/>
      <c r="D1074" s="21"/>
      <c r="E1074" s="21"/>
      <c r="F1074" s="21"/>
      <c r="G1074" s="21"/>
      <c r="H1074" s="21"/>
      <c r="I1074" s="21"/>
      <c r="J1074" s="21"/>
      <c r="K1074" s="21"/>
      <c r="L1074" s="21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</row>
    <row r="1075">
      <c r="A1075" s="7"/>
      <c r="B1075" s="21"/>
      <c r="C1075" s="21"/>
      <c r="D1075" s="21"/>
      <c r="E1075" s="21"/>
      <c r="F1075" s="21"/>
      <c r="G1075" s="21"/>
      <c r="H1075" s="21"/>
      <c r="I1075" s="21"/>
      <c r="J1075" s="21"/>
      <c r="K1075" s="21"/>
      <c r="L1075" s="21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</row>
    <row r="1076">
      <c r="A1076" s="7"/>
      <c r="B1076" s="21"/>
      <c r="C1076" s="21"/>
      <c r="D1076" s="21"/>
      <c r="E1076" s="21"/>
      <c r="F1076" s="21"/>
      <c r="G1076" s="21"/>
      <c r="H1076" s="21"/>
      <c r="I1076" s="21"/>
      <c r="J1076" s="21"/>
      <c r="K1076" s="21"/>
      <c r="L1076" s="21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</row>
    <row r="1077">
      <c r="A1077" s="7"/>
      <c r="B1077" s="21"/>
      <c r="C1077" s="21"/>
      <c r="D1077" s="21"/>
      <c r="E1077" s="21"/>
      <c r="F1077" s="21"/>
      <c r="G1077" s="21"/>
      <c r="H1077" s="21"/>
      <c r="I1077" s="21"/>
      <c r="J1077" s="21"/>
      <c r="K1077" s="21"/>
      <c r="L1077" s="21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</row>
    <row r="1078">
      <c r="A1078" s="7"/>
      <c r="B1078" s="21"/>
      <c r="C1078" s="21"/>
      <c r="D1078" s="21"/>
      <c r="E1078" s="21"/>
      <c r="F1078" s="21"/>
      <c r="G1078" s="21"/>
      <c r="H1078" s="21"/>
      <c r="I1078" s="21"/>
      <c r="J1078" s="21"/>
      <c r="K1078" s="21"/>
      <c r="L1078" s="21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</row>
    <row r="1079">
      <c r="A1079" s="7"/>
      <c r="B1079" s="21"/>
      <c r="C1079" s="21"/>
      <c r="D1079" s="21"/>
      <c r="E1079" s="21"/>
      <c r="F1079" s="21"/>
      <c r="G1079" s="21"/>
      <c r="H1079" s="21"/>
      <c r="I1079" s="21"/>
      <c r="J1079" s="21"/>
      <c r="K1079" s="21"/>
      <c r="L1079" s="21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</row>
    <row r="1080">
      <c r="A1080" s="7"/>
      <c r="B1080" s="21"/>
      <c r="C1080" s="21"/>
      <c r="D1080" s="21"/>
      <c r="E1080" s="21"/>
      <c r="F1080" s="21"/>
      <c r="G1080" s="21"/>
      <c r="H1080" s="21"/>
      <c r="I1080" s="21"/>
      <c r="J1080" s="21"/>
      <c r="K1080" s="21"/>
      <c r="L1080" s="21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</row>
    <row r="1081">
      <c r="A1081" s="7"/>
      <c r="B1081" s="21"/>
      <c r="C1081" s="21"/>
      <c r="D1081" s="21"/>
      <c r="E1081" s="21"/>
      <c r="F1081" s="21"/>
      <c r="G1081" s="21"/>
      <c r="H1081" s="21"/>
      <c r="I1081" s="21"/>
      <c r="J1081" s="21"/>
      <c r="K1081" s="21"/>
      <c r="L1081" s="21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</row>
    <row r="1082">
      <c r="A1082" s="7"/>
      <c r="B1082" s="21"/>
      <c r="C1082" s="21"/>
      <c r="D1082" s="21"/>
      <c r="E1082" s="21"/>
      <c r="F1082" s="21"/>
      <c r="G1082" s="21"/>
      <c r="H1082" s="21"/>
      <c r="I1082" s="21"/>
      <c r="J1082" s="21"/>
      <c r="K1082" s="21"/>
      <c r="L1082" s="21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</row>
    <row r="1083">
      <c r="A1083" s="7"/>
      <c r="B1083" s="21"/>
      <c r="C1083" s="21"/>
      <c r="D1083" s="21"/>
      <c r="E1083" s="21"/>
      <c r="F1083" s="21"/>
      <c r="G1083" s="21"/>
      <c r="H1083" s="21"/>
      <c r="I1083" s="21"/>
      <c r="J1083" s="21"/>
      <c r="K1083" s="21"/>
      <c r="L1083" s="21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</row>
    <row r="1084">
      <c r="A1084" s="7"/>
      <c r="B1084" s="21"/>
      <c r="C1084" s="21"/>
      <c r="D1084" s="21"/>
      <c r="E1084" s="21"/>
      <c r="F1084" s="21"/>
      <c r="G1084" s="21"/>
      <c r="H1084" s="21"/>
      <c r="I1084" s="21"/>
      <c r="J1084" s="21"/>
      <c r="K1084" s="21"/>
      <c r="L1084" s="21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</row>
    <row r="1085">
      <c r="A1085" s="7"/>
      <c r="B1085" s="21"/>
      <c r="C1085" s="21"/>
      <c r="D1085" s="21"/>
      <c r="E1085" s="21"/>
      <c r="F1085" s="21"/>
      <c r="G1085" s="21"/>
      <c r="H1085" s="21"/>
      <c r="I1085" s="21"/>
      <c r="J1085" s="21"/>
      <c r="K1085" s="21"/>
      <c r="L1085" s="21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</row>
    <row r="1086">
      <c r="A1086" s="7"/>
      <c r="B1086" s="21"/>
      <c r="C1086" s="21"/>
      <c r="D1086" s="21"/>
      <c r="E1086" s="21"/>
      <c r="F1086" s="21"/>
      <c r="G1086" s="21"/>
      <c r="H1086" s="21"/>
      <c r="I1086" s="21"/>
      <c r="J1086" s="21"/>
      <c r="K1086" s="21"/>
      <c r="L1086" s="21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</row>
    <row r="1087">
      <c r="A1087" s="7"/>
      <c r="B1087" s="21"/>
      <c r="C1087" s="21"/>
      <c r="D1087" s="21"/>
      <c r="E1087" s="21"/>
      <c r="F1087" s="21"/>
      <c r="G1087" s="21"/>
      <c r="H1087" s="21"/>
      <c r="I1087" s="21"/>
      <c r="J1087" s="21"/>
      <c r="K1087" s="21"/>
      <c r="L1087" s="21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</row>
    <row r="1088">
      <c r="A1088" s="7"/>
      <c r="B1088" s="21"/>
      <c r="C1088" s="21"/>
      <c r="D1088" s="21"/>
      <c r="E1088" s="21"/>
      <c r="F1088" s="21"/>
      <c r="G1088" s="21"/>
      <c r="H1088" s="21"/>
      <c r="I1088" s="21"/>
      <c r="J1088" s="21"/>
      <c r="K1088" s="21"/>
      <c r="L1088" s="21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</row>
    <row r="1089">
      <c r="A1089" s="7"/>
      <c r="B1089" s="21"/>
      <c r="C1089" s="21"/>
      <c r="D1089" s="21"/>
      <c r="E1089" s="21"/>
      <c r="F1089" s="21"/>
      <c r="G1089" s="21"/>
      <c r="H1089" s="21"/>
      <c r="I1089" s="21"/>
      <c r="J1089" s="21"/>
      <c r="K1089" s="21"/>
      <c r="L1089" s="21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</row>
    <row r="1090">
      <c r="A1090" s="7"/>
      <c r="B1090" s="21"/>
      <c r="C1090" s="21"/>
      <c r="D1090" s="21"/>
      <c r="E1090" s="21"/>
      <c r="F1090" s="21"/>
      <c r="G1090" s="21"/>
      <c r="H1090" s="21"/>
      <c r="I1090" s="21"/>
      <c r="J1090" s="21"/>
      <c r="K1090" s="21"/>
      <c r="L1090" s="21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</row>
    <row r="1091">
      <c r="A1091" s="7"/>
      <c r="B1091" s="21"/>
      <c r="C1091" s="21"/>
      <c r="D1091" s="21"/>
      <c r="E1091" s="21"/>
      <c r="F1091" s="21"/>
      <c r="G1091" s="21"/>
      <c r="H1091" s="21"/>
      <c r="I1091" s="21"/>
      <c r="J1091" s="21"/>
      <c r="K1091" s="21"/>
      <c r="L1091" s="21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</row>
    <row r="1092">
      <c r="A1092" s="7"/>
      <c r="B1092" s="21"/>
      <c r="C1092" s="21"/>
      <c r="D1092" s="21"/>
      <c r="E1092" s="21"/>
      <c r="F1092" s="21"/>
      <c r="G1092" s="21"/>
      <c r="H1092" s="21"/>
      <c r="I1092" s="21"/>
      <c r="J1092" s="21"/>
      <c r="K1092" s="21"/>
      <c r="L1092" s="21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</row>
    <row r="1093">
      <c r="A1093" s="7"/>
      <c r="B1093" s="21"/>
      <c r="C1093" s="21"/>
      <c r="D1093" s="21"/>
      <c r="E1093" s="21"/>
      <c r="F1093" s="21"/>
      <c r="G1093" s="21"/>
      <c r="H1093" s="21"/>
      <c r="I1093" s="21"/>
      <c r="J1093" s="21"/>
      <c r="K1093" s="21"/>
      <c r="L1093" s="21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</row>
    <row r="1094">
      <c r="A1094" s="7"/>
      <c r="B1094" s="21"/>
      <c r="C1094" s="21"/>
      <c r="D1094" s="21"/>
      <c r="E1094" s="21"/>
      <c r="F1094" s="21"/>
      <c r="G1094" s="21"/>
      <c r="H1094" s="21"/>
      <c r="I1094" s="21"/>
      <c r="J1094" s="21"/>
      <c r="K1094" s="21"/>
      <c r="L1094" s="21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</row>
    <row r="1095">
      <c r="A1095" s="7"/>
      <c r="B1095" s="21"/>
      <c r="C1095" s="21"/>
      <c r="D1095" s="21"/>
      <c r="E1095" s="21"/>
      <c r="F1095" s="21"/>
      <c r="G1095" s="21"/>
      <c r="H1095" s="21"/>
      <c r="I1095" s="21"/>
      <c r="J1095" s="21"/>
      <c r="K1095" s="21"/>
      <c r="L1095" s="21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</row>
    <row r="1096">
      <c r="A1096" s="7"/>
      <c r="B1096" s="21"/>
      <c r="C1096" s="21"/>
      <c r="D1096" s="21"/>
      <c r="E1096" s="21"/>
      <c r="F1096" s="21"/>
      <c r="G1096" s="21"/>
      <c r="H1096" s="21"/>
      <c r="I1096" s="21"/>
      <c r="J1096" s="21"/>
      <c r="K1096" s="21"/>
      <c r="L1096" s="21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</row>
    <row r="1097">
      <c r="A1097" s="7"/>
      <c r="B1097" s="21"/>
      <c r="C1097" s="21"/>
      <c r="D1097" s="21"/>
      <c r="E1097" s="21"/>
      <c r="F1097" s="21"/>
      <c r="G1097" s="21"/>
      <c r="H1097" s="21"/>
      <c r="I1097" s="21"/>
      <c r="J1097" s="21"/>
      <c r="K1097" s="21"/>
      <c r="L1097" s="21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</row>
    <row r="1098">
      <c r="A1098" s="7"/>
      <c r="B1098" s="21"/>
      <c r="C1098" s="21"/>
      <c r="D1098" s="21"/>
      <c r="E1098" s="21"/>
      <c r="F1098" s="21"/>
      <c r="G1098" s="21"/>
      <c r="H1098" s="21"/>
      <c r="I1098" s="21"/>
      <c r="J1098" s="21"/>
      <c r="K1098" s="21"/>
      <c r="L1098" s="21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</row>
    <row r="1099">
      <c r="A1099" s="7"/>
      <c r="B1099" s="21"/>
      <c r="C1099" s="21"/>
      <c r="D1099" s="21"/>
      <c r="E1099" s="21"/>
      <c r="F1099" s="21"/>
      <c r="G1099" s="21"/>
      <c r="H1099" s="21"/>
      <c r="I1099" s="21"/>
      <c r="J1099" s="21"/>
      <c r="K1099" s="21"/>
      <c r="L1099" s="21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</row>
    <row r="1100">
      <c r="A1100" s="7"/>
      <c r="B1100" s="21"/>
      <c r="C1100" s="21"/>
      <c r="D1100" s="21"/>
      <c r="E1100" s="21"/>
      <c r="F1100" s="21"/>
      <c r="G1100" s="21"/>
      <c r="H1100" s="21"/>
      <c r="I1100" s="21"/>
      <c r="J1100" s="21"/>
      <c r="K1100" s="21"/>
      <c r="L1100" s="21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</row>
    <row r="1101">
      <c r="A1101" s="7"/>
      <c r="B1101" s="21"/>
      <c r="C1101" s="21"/>
      <c r="D1101" s="21"/>
      <c r="E1101" s="21"/>
      <c r="F1101" s="21"/>
      <c r="G1101" s="21"/>
      <c r="H1101" s="21"/>
      <c r="I1101" s="21"/>
      <c r="J1101" s="21"/>
      <c r="K1101" s="21"/>
      <c r="L1101" s="21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</row>
    <row r="1102">
      <c r="A1102" s="7"/>
      <c r="B1102" s="21"/>
      <c r="C1102" s="21"/>
      <c r="D1102" s="21"/>
      <c r="E1102" s="21"/>
      <c r="F1102" s="21"/>
      <c r="G1102" s="21"/>
      <c r="H1102" s="21"/>
      <c r="I1102" s="21"/>
      <c r="J1102" s="21"/>
      <c r="K1102" s="21"/>
      <c r="L1102" s="21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</row>
    <row r="1103">
      <c r="A1103" s="7"/>
      <c r="B1103" s="21"/>
      <c r="C1103" s="21"/>
      <c r="D1103" s="21"/>
      <c r="E1103" s="21"/>
      <c r="F1103" s="21"/>
      <c r="G1103" s="21"/>
      <c r="H1103" s="21"/>
      <c r="I1103" s="21"/>
      <c r="J1103" s="21"/>
      <c r="K1103" s="21"/>
      <c r="L1103" s="21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</row>
    <row r="1104">
      <c r="A1104" s="7"/>
      <c r="B1104" s="21"/>
      <c r="C1104" s="21"/>
      <c r="D1104" s="21"/>
      <c r="E1104" s="21"/>
      <c r="F1104" s="21"/>
      <c r="G1104" s="21"/>
      <c r="H1104" s="21"/>
      <c r="I1104" s="21"/>
      <c r="J1104" s="21"/>
      <c r="K1104" s="21"/>
      <c r="L1104" s="21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</row>
    <row r="1105">
      <c r="A1105" s="7"/>
      <c r="B1105" s="21"/>
      <c r="C1105" s="21"/>
      <c r="D1105" s="21"/>
      <c r="E1105" s="21"/>
      <c r="F1105" s="21"/>
      <c r="G1105" s="21"/>
      <c r="H1105" s="21"/>
      <c r="I1105" s="21"/>
      <c r="J1105" s="21"/>
      <c r="K1105" s="21"/>
      <c r="L1105" s="21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</row>
    <row r="1106">
      <c r="A1106" s="7"/>
      <c r="B1106" s="21"/>
      <c r="C1106" s="21"/>
      <c r="D1106" s="21"/>
      <c r="E1106" s="21"/>
      <c r="F1106" s="21"/>
      <c r="G1106" s="21"/>
      <c r="H1106" s="21"/>
      <c r="I1106" s="21"/>
      <c r="J1106" s="21"/>
      <c r="K1106" s="21"/>
      <c r="L1106" s="21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</row>
    <row r="1107">
      <c r="A1107" s="7"/>
      <c r="B1107" s="21"/>
      <c r="C1107" s="21"/>
      <c r="D1107" s="21"/>
      <c r="E1107" s="21"/>
      <c r="F1107" s="21"/>
      <c r="G1107" s="21"/>
      <c r="H1107" s="21"/>
      <c r="I1107" s="21"/>
      <c r="J1107" s="21"/>
      <c r="K1107" s="21"/>
      <c r="L1107" s="21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</row>
    <row r="1108">
      <c r="A1108" s="7"/>
      <c r="B1108" s="21"/>
      <c r="C1108" s="21"/>
      <c r="D1108" s="21"/>
      <c r="E1108" s="21"/>
      <c r="F1108" s="21"/>
      <c r="G1108" s="21"/>
      <c r="H1108" s="21"/>
      <c r="I1108" s="21"/>
      <c r="J1108" s="21"/>
      <c r="K1108" s="21"/>
      <c r="L1108" s="21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</row>
    <row r="1109">
      <c r="A1109" s="7"/>
      <c r="B1109" s="21"/>
      <c r="C1109" s="21"/>
      <c r="D1109" s="21"/>
      <c r="E1109" s="21"/>
      <c r="F1109" s="21"/>
      <c r="G1109" s="21"/>
      <c r="H1109" s="21"/>
      <c r="I1109" s="21"/>
      <c r="J1109" s="21"/>
      <c r="K1109" s="21"/>
      <c r="L1109" s="21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</row>
    <row r="1110">
      <c r="A1110" s="7"/>
      <c r="B1110" s="21"/>
      <c r="C1110" s="21"/>
      <c r="D1110" s="21"/>
      <c r="E1110" s="21"/>
      <c r="F1110" s="21"/>
      <c r="G1110" s="21"/>
      <c r="H1110" s="21"/>
      <c r="I1110" s="21"/>
      <c r="J1110" s="21"/>
      <c r="K1110" s="21"/>
      <c r="L1110" s="21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</row>
    <row r="1111">
      <c r="A1111" s="7"/>
      <c r="B1111" s="21"/>
      <c r="C1111" s="21"/>
      <c r="D1111" s="21"/>
      <c r="E1111" s="21"/>
      <c r="F1111" s="21"/>
      <c r="G1111" s="21"/>
      <c r="H1111" s="21"/>
      <c r="I1111" s="21"/>
      <c r="J1111" s="21"/>
      <c r="K1111" s="21"/>
      <c r="L1111" s="21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</row>
    <row r="1112">
      <c r="A1112" s="7"/>
      <c r="B1112" s="21"/>
      <c r="C1112" s="21"/>
      <c r="D1112" s="21"/>
      <c r="E1112" s="21"/>
      <c r="F1112" s="21"/>
      <c r="G1112" s="21"/>
      <c r="H1112" s="21"/>
      <c r="I1112" s="21"/>
      <c r="J1112" s="21"/>
      <c r="K1112" s="21"/>
      <c r="L1112" s="21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</row>
    <row r="1113">
      <c r="A1113" s="7"/>
      <c r="B1113" s="21"/>
      <c r="C1113" s="21"/>
      <c r="D1113" s="21"/>
      <c r="E1113" s="21"/>
      <c r="F1113" s="21"/>
      <c r="G1113" s="21"/>
      <c r="H1113" s="21"/>
      <c r="I1113" s="21"/>
      <c r="J1113" s="21"/>
      <c r="K1113" s="21"/>
      <c r="L1113" s="21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</row>
    <row r="1114">
      <c r="A1114" s="7"/>
      <c r="B1114" s="21"/>
      <c r="C1114" s="21"/>
      <c r="D1114" s="21"/>
      <c r="E1114" s="21"/>
      <c r="F1114" s="21"/>
      <c r="G1114" s="21"/>
      <c r="H1114" s="21"/>
      <c r="I1114" s="21"/>
      <c r="J1114" s="21"/>
      <c r="K1114" s="21"/>
      <c r="L1114" s="21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</row>
    <row r="1115">
      <c r="A1115" s="7"/>
      <c r="B1115" s="21"/>
      <c r="C1115" s="21"/>
      <c r="D1115" s="21"/>
      <c r="E1115" s="21"/>
      <c r="F1115" s="21"/>
      <c r="G1115" s="21"/>
      <c r="H1115" s="21"/>
      <c r="I1115" s="21"/>
      <c r="J1115" s="21"/>
      <c r="K1115" s="21"/>
      <c r="L1115" s="21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</row>
    <row r="1116">
      <c r="A1116" s="7"/>
      <c r="B1116" s="21"/>
      <c r="C1116" s="21"/>
      <c r="D1116" s="21"/>
      <c r="E1116" s="21"/>
      <c r="F1116" s="21"/>
      <c r="G1116" s="21"/>
      <c r="H1116" s="21"/>
      <c r="I1116" s="21"/>
      <c r="J1116" s="21"/>
      <c r="K1116" s="21"/>
      <c r="L1116" s="21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</row>
    <row r="1117">
      <c r="A1117" s="7"/>
      <c r="B1117" s="21"/>
      <c r="C1117" s="21"/>
      <c r="D1117" s="21"/>
      <c r="E1117" s="21"/>
      <c r="F1117" s="21"/>
      <c r="G1117" s="21"/>
      <c r="H1117" s="21"/>
      <c r="I1117" s="21"/>
      <c r="J1117" s="21"/>
      <c r="K1117" s="21"/>
      <c r="L1117" s="21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</row>
    <row r="1118">
      <c r="A1118" s="7"/>
      <c r="B1118" s="21"/>
      <c r="C1118" s="21"/>
      <c r="D1118" s="21"/>
      <c r="E1118" s="21"/>
      <c r="F1118" s="21"/>
      <c r="G1118" s="21"/>
      <c r="H1118" s="21"/>
      <c r="I1118" s="21"/>
      <c r="J1118" s="21"/>
      <c r="K1118" s="21"/>
      <c r="L1118" s="21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</row>
    <row r="1119">
      <c r="A1119" s="7"/>
      <c r="B1119" s="21"/>
      <c r="C1119" s="21"/>
      <c r="D1119" s="21"/>
      <c r="E1119" s="21"/>
      <c r="F1119" s="21"/>
      <c r="G1119" s="21"/>
      <c r="H1119" s="21"/>
      <c r="I1119" s="21"/>
      <c r="J1119" s="21"/>
      <c r="K1119" s="21"/>
      <c r="L1119" s="21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</row>
    <row r="1120">
      <c r="A1120" s="7"/>
      <c r="B1120" s="21"/>
      <c r="C1120" s="21"/>
      <c r="D1120" s="21"/>
      <c r="E1120" s="21"/>
      <c r="F1120" s="21"/>
      <c r="G1120" s="21"/>
      <c r="H1120" s="21"/>
      <c r="I1120" s="21"/>
      <c r="J1120" s="21"/>
      <c r="K1120" s="21"/>
      <c r="L1120" s="21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</row>
    <row r="1121">
      <c r="A1121" s="7"/>
      <c r="B1121" s="21"/>
      <c r="C1121" s="21"/>
      <c r="D1121" s="21"/>
      <c r="E1121" s="21"/>
      <c r="F1121" s="21"/>
      <c r="G1121" s="21"/>
      <c r="H1121" s="21"/>
      <c r="I1121" s="21"/>
      <c r="J1121" s="21"/>
      <c r="K1121" s="21"/>
      <c r="L1121" s="21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</row>
    <row r="1122">
      <c r="A1122" s="7"/>
      <c r="B1122" s="21"/>
      <c r="C1122" s="21"/>
      <c r="D1122" s="21"/>
      <c r="E1122" s="21"/>
      <c r="F1122" s="21"/>
      <c r="G1122" s="21"/>
      <c r="H1122" s="21"/>
      <c r="I1122" s="21"/>
      <c r="J1122" s="21"/>
      <c r="K1122" s="21"/>
      <c r="L1122" s="21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</row>
    <row r="1123">
      <c r="A1123" s="7"/>
      <c r="B1123" s="21"/>
      <c r="C1123" s="21"/>
      <c r="D1123" s="21"/>
      <c r="E1123" s="21"/>
      <c r="F1123" s="21"/>
      <c r="G1123" s="21"/>
      <c r="H1123" s="21"/>
      <c r="I1123" s="21"/>
      <c r="J1123" s="21"/>
      <c r="K1123" s="21"/>
      <c r="L1123" s="21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</row>
    <row r="1124">
      <c r="A1124" s="7"/>
      <c r="B1124" s="21"/>
      <c r="C1124" s="21"/>
      <c r="D1124" s="21"/>
      <c r="E1124" s="21"/>
      <c r="F1124" s="21"/>
      <c r="G1124" s="21"/>
      <c r="H1124" s="21"/>
      <c r="I1124" s="21"/>
      <c r="J1124" s="21"/>
      <c r="K1124" s="21"/>
      <c r="L1124" s="21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</row>
    <row r="1125">
      <c r="A1125" s="7"/>
      <c r="B1125" s="21"/>
      <c r="C1125" s="21"/>
      <c r="D1125" s="21"/>
      <c r="E1125" s="21"/>
      <c r="F1125" s="21"/>
      <c r="G1125" s="21"/>
      <c r="H1125" s="21"/>
      <c r="I1125" s="21"/>
      <c r="J1125" s="21"/>
      <c r="K1125" s="21"/>
      <c r="L1125" s="21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</row>
    <row r="1126">
      <c r="A1126" s="7"/>
      <c r="B1126" s="21"/>
      <c r="C1126" s="21"/>
      <c r="D1126" s="21"/>
      <c r="E1126" s="21"/>
      <c r="F1126" s="21"/>
      <c r="G1126" s="21"/>
      <c r="H1126" s="21"/>
      <c r="I1126" s="21"/>
      <c r="J1126" s="21"/>
      <c r="K1126" s="21"/>
      <c r="L1126" s="21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</row>
    <row r="1127">
      <c r="A1127" s="7"/>
      <c r="B1127" s="21"/>
      <c r="C1127" s="21"/>
      <c r="D1127" s="21"/>
      <c r="E1127" s="21"/>
      <c r="F1127" s="21"/>
      <c r="G1127" s="21"/>
      <c r="H1127" s="21"/>
      <c r="I1127" s="21"/>
      <c r="J1127" s="21"/>
      <c r="K1127" s="21"/>
      <c r="L1127" s="21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</row>
    <row r="1128">
      <c r="A1128" s="7"/>
      <c r="B1128" s="21"/>
      <c r="C1128" s="21"/>
      <c r="D1128" s="21"/>
      <c r="E1128" s="21"/>
      <c r="F1128" s="21"/>
      <c r="G1128" s="21"/>
      <c r="H1128" s="21"/>
      <c r="I1128" s="21"/>
      <c r="J1128" s="21"/>
      <c r="K1128" s="21"/>
      <c r="L1128" s="21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</row>
    <row r="1129">
      <c r="A1129" s="7"/>
      <c r="B1129" s="21"/>
      <c r="C1129" s="21"/>
      <c r="D1129" s="21"/>
      <c r="E1129" s="21"/>
      <c r="F1129" s="21"/>
      <c r="G1129" s="21"/>
      <c r="H1129" s="21"/>
      <c r="I1129" s="21"/>
      <c r="J1129" s="21"/>
      <c r="K1129" s="21"/>
      <c r="L1129" s="21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</row>
    <row r="1130">
      <c r="A1130" s="7"/>
      <c r="B1130" s="21"/>
      <c r="C1130" s="21"/>
      <c r="D1130" s="21"/>
      <c r="E1130" s="21"/>
      <c r="F1130" s="21"/>
      <c r="G1130" s="21"/>
      <c r="H1130" s="21"/>
      <c r="I1130" s="21"/>
      <c r="J1130" s="21"/>
      <c r="K1130" s="21"/>
      <c r="L1130" s="21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</row>
    <row r="1131">
      <c r="A1131" s="7"/>
      <c r="B1131" s="21"/>
      <c r="C1131" s="21"/>
      <c r="D1131" s="21"/>
      <c r="E1131" s="21"/>
      <c r="F1131" s="21"/>
      <c r="G1131" s="21"/>
      <c r="H1131" s="21"/>
      <c r="I1131" s="21"/>
      <c r="J1131" s="21"/>
      <c r="K1131" s="21"/>
      <c r="L1131" s="21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</row>
    <row r="1132">
      <c r="A1132" s="7"/>
      <c r="B1132" s="21"/>
      <c r="C1132" s="21"/>
      <c r="D1132" s="21"/>
      <c r="E1132" s="21"/>
      <c r="F1132" s="21"/>
      <c r="G1132" s="21"/>
      <c r="H1132" s="21"/>
      <c r="I1132" s="21"/>
      <c r="J1132" s="21"/>
      <c r="K1132" s="21"/>
      <c r="L1132" s="21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</row>
    <row r="1133">
      <c r="A1133" s="7"/>
      <c r="B1133" s="21"/>
      <c r="C1133" s="21"/>
      <c r="D1133" s="21"/>
      <c r="E1133" s="21"/>
      <c r="F1133" s="21"/>
      <c r="G1133" s="21"/>
      <c r="H1133" s="21"/>
      <c r="I1133" s="21"/>
      <c r="J1133" s="21"/>
      <c r="K1133" s="21"/>
      <c r="L1133" s="21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</row>
    <row r="1134">
      <c r="A1134" s="7"/>
      <c r="B1134" s="21"/>
      <c r="C1134" s="21"/>
      <c r="D1134" s="21"/>
      <c r="E1134" s="21"/>
      <c r="F1134" s="21"/>
      <c r="G1134" s="21"/>
      <c r="H1134" s="21"/>
      <c r="I1134" s="21"/>
      <c r="J1134" s="21"/>
      <c r="K1134" s="21"/>
      <c r="L1134" s="21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</row>
    <row r="1135">
      <c r="A1135" s="7"/>
      <c r="B1135" s="21"/>
      <c r="C1135" s="21"/>
      <c r="D1135" s="21"/>
      <c r="E1135" s="21"/>
      <c r="F1135" s="21"/>
      <c r="G1135" s="21"/>
      <c r="H1135" s="21"/>
      <c r="I1135" s="21"/>
      <c r="J1135" s="21"/>
      <c r="K1135" s="21"/>
      <c r="L1135" s="21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</row>
    <row r="1136">
      <c r="A1136" s="7"/>
      <c r="B1136" s="21"/>
      <c r="C1136" s="21"/>
      <c r="D1136" s="21"/>
      <c r="E1136" s="21"/>
      <c r="F1136" s="21"/>
      <c r="G1136" s="21"/>
      <c r="H1136" s="21"/>
      <c r="I1136" s="21"/>
      <c r="J1136" s="21"/>
      <c r="K1136" s="21"/>
      <c r="L1136" s="21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</row>
    <row r="1137">
      <c r="A1137" s="7"/>
      <c r="B1137" s="21"/>
      <c r="C1137" s="21"/>
      <c r="D1137" s="21"/>
      <c r="E1137" s="21"/>
      <c r="F1137" s="21"/>
      <c r="G1137" s="21"/>
      <c r="H1137" s="21"/>
      <c r="I1137" s="21"/>
      <c r="J1137" s="21"/>
      <c r="K1137" s="21"/>
      <c r="L1137" s="21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</row>
    <row r="1138">
      <c r="A1138" s="7"/>
      <c r="B1138" s="21"/>
      <c r="C1138" s="21"/>
      <c r="D1138" s="21"/>
      <c r="E1138" s="21"/>
      <c r="F1138" s="21"/>
      <c r="G1138" s="21"/>
      <c r="H1138" s="21"/>
      <c r="I1138" s="21"/>
      <c r="J1138" s="21"/>
      <c r="K1138" s="21"/>
      <c r="L1138" s="21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</row>
    <row r="1139">
      <c r="A1139" s="7"/>
      <c r="B1139" s="21"/>
      <c r="C1139" s="21"/>
      <c r="D1139" s="21"/>
      <c r="E1139" s="21"/>
      <c r="F1139" s="21"/>
      <c r="G1139" s="21"/>
      <c r="H1139" s="21"/>
      <c r="I1139" s="21"/>
      <c r="J1139" s="21"/>
      <c r="K1139" s="21"/>
      <c r="L1139" s="21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</row>
    <row r="1140">
      <c r="A1140" s="7"/>
      <c r="B1140" s="21"/>
      <c r="C1140" s="21"/>
      <c r="D1140" s="21"/>
      <c r="E1140" s="21"/>
      <c r="F1140" s="21"/>
      <c r="G1140" s="21"/>
      <c r="H1140" s="21"/>
      <c r="I1140" s="21"/>
      <c r="J1140" s="21"/>
      <c r="K1140" s="21"/>
      <c r="L1140" s="21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</row>
    <row r="1141">
      <c r="A1141" s="7"/>
      <c r="B1141" s="21"/>
      <c r="C1141" s="21"/>
      <c r="D1141" s="21"/>
      <c r="E1141" s="21"/>
      <c r="F1141" s="21"/>
      <c r="G1141" s="21"/>
      <c r="H1141" s="21"/>
      <c r="I1141" s="21"/>
      <c r="J1141" s="21"/>
      <c r="K1141" s="21"/>
      <c r="L1141" s="21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</row>
    <row r="1142">
      <c r="A1142" s="7"/>
      <c r="B1142" s="21"/>
      <c r="C1142" s="21"/>
      <c r="D1142" s="21"/>
      <c r="E1142" s="21"/>
      <c r="F1142" s="21"/>
      <c r="G1142" s="21"/>
      <c r="H1142" s="21"/>
      <c r="I1142" s="21"/>
      <c r="J1142" s="21"/>
      <c r="K1142" s="21"/>
      <c r="L1142" s="21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</row>
    <row r="1143">
      <c r="A1143" s="7"/>
      <c r="B1143" s="21"/>
      <c r="C1143" s="21"/>
      <c r="D1143" s="21"/>
      <c r="E1143" s="21"/>
      <c r="F1143" s="21"/>
      <c r="G1143" s="21"/>
      <c r="H1143" s="21"/>
      <c r="I1143" s="21"/>
      <c r="J1143" s="21"/>
      <c r="K1143" s="21"/>
      <c r="L1143" s="21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</row>
    <row r="1144">
      <c r="A1144" s="7"/>
      <c r="B1144" s="21"/>
      <c r="C1144" s="21"/>
      <c r="D1144" s="21"/>
      <c r="E1144" s="21"/>
      <c r="F1144" s="21"/>
      <c r="G1144" s="21"/>
      <c r="H1144" s="21"/>
      <c r="I1144" s="21"/>
      <c r="J1144" s="21"/>
      <c r="K1144" s="21"/>
      <c r="L1144" s="21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</row>
    <row r="1145">
      <c r="A1145" s="7"/>
      <c r="B1145" s="21"/>
      <c r="C1145" s="21"/>
      <c r="D1145" s="21"/>
      <c r="E1145" s="21"/>
      <c r="F1145" s="21"/>
      <c r="G1145" s="21"/>
      <c r="H1145" s="21"/>
      <c r="I1145" s="21"/>
      <c r="J1145" s="21"/>
      <c r="K1145" s="21"/>
      <c r="L1145" s="21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</row>
    <row r="1146">
      <c r="A1146" s="7"/>
      <c r="B1146" s="21"/>
      <c r="C1146" s="21"/>
      <c r="D1146" s="21"/>
      <c r="E1146" s="21"/>
      <c r="F1146" s="21"/>
      <c r="G1146" s="21"/>
      <c r="H1146" s="21"/>
      <c r="I1146" s="21"/>
      <c r="J1146" s="21"/>
      <c r="K1146" s="21"/>
      <c r="L1146" s="21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</row>
    <row r="1147">
      <c r="A1147" s="7"/>
      <c r="B1147" s="21"/>
      <c r="C1147" s="21"/>
      <c r="D1147" s="21"/>
      <c r="E1147" s="21"/>
      <c r="F1147" s="21"/>
      <c r="G1147" s="21"/>
      <c r="H1147" s="21"/>
      <c r="I1147" s="21"/>
      <c r="J1147" s="21"/>
      <c r="K1147" s="21"/>
      <c r="L1147" s="21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</row>
    <row r="1148">
      <c r="A1148" s="7"/>
      <c r="B1148" s="21"/>
      <c r="C1148" s="21"/>
      <c r="D1148" s="21"/>
      <c r="E1148" s="21"/>
      <c r="F1148" s="21"/>
      <c r="G1148" s="21"/>
      <c r="H1148" s="21"/>
      <c r="I1148" s="21"/>
      <c r="J1148" s="21"/>
      <c r="K1148" s="21"/>
      <c r="L1148" s="21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</row>
    <row r="1149">
      <c r="A1149" s="7"/>
      <c r="B1149" s="21"/>
      <c r="C1149" s="21"/>
      <c r="D1149" s="21"/>
      <c r="E1149" s="21"/>
      <c r="F1149" s="21"/>
      <c r="G1149" s="21"/>
      <c r="H1149" s="21"/>
      <c r="I1149" s="21"/>
      <c r="J1149" s="21"/>
      <c r="K1149" s="21"/>
      <c r="L1149" s="21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</row>
    <row r="1150">
      <c r="A1150" s="7"/>
      <c r="B1150" s="21"/>
      <c r="C1150" s="21"/>
      <c r="D1150" s="21"/>
      <c r="E1150" s="21"/>
      <c r="F1150" s="21"/>
      <c r="G1150" s="21"/>
      <c r="H1150" s="21"/>
      <c r="I1150" s="21"/>
      <c r="J1150" s="21"/>
      <c r="K1150" s="21"/>
      <c r="L1150" s="21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</row>
    <row r="1151">
      <c r="A1151" s="7"/>
      <c r="B1151" s="21"/>
      <c r="C1151" s="21"/>
      <c r="D1151" s="21"/>
      <c r="E1151" s="21"/>
      <c r="F1151" s="21"/>
      <c r="G1151" s="21"/>
      <c r="H1151" s="21"/>
      <c r="I1151" s="21"/>
      <c r="J1151" s="21"/>
      <c r="K1151" s="21"/>
      <c r="L1151" s="21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</row>
    <row r="1152">
      <c r="A1152" s="7"/>
      <c r="B1152" s="21"/>
      <c r="C1152" s="21"/>
      <c r="D1152" s="21"/>
      <c r="E1152" s="21"/>
      <c r="F1152" s="21"/>
      <c r="G1152" s="21"/>
      <c r="H1152" s="21"/>
      <c r="I1152" s="21"/>
      <c r="J1152" s="21"/>
      <c r="K1152" s="21"/>
      <c r="L1152" s="21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</row>
    <row r="1153">
      <c r="A1153" s="7"/>
      <c r="B1153" s="21"/>
      <c r="C1153" s="21"/>
      <c r="D1153" s="21"/>
      <c r="E1153" s="21"/>
      <c r="F1153" s="21"/>
      <c r="G1153" s="21"/>
      <c r="H1153" s="21"/>
      <c r="I1153" s="21"/>
      <c r="J1153" s="21"/>
      <c r="K1153" s="21"/>
      <c r="L1153" s="21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</row>
    <row r="1154">
      <c r="A1154" s="7"/>
      <c r="B1154" s="21"/>
      <c r="C1154" s="21"/>
      <c r="D1154" s="21"/>
      <c r="E1154" s="21"/>
      <c r="F1154" s="21"/>
      <c r="G1154" s="21"/>
      <c r="H1154" s="21"/>
      <c r="I1154" s="21"/>
      <c r="J1154" s="21"/>
      <c r="K1154" s="21"/>
      <c r="L1154" s="21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</row>
    <row r="1155">
      <c r="A1155" s="7"/>
      <c r="B1155" s="21"/>
      <c r="C1155" s="21"/>
      <c r="D1155" s="21"/>
      <c r="E1155" s="21"/>
      <c r="F1155" s="21"/>
      <c r="G1155" s="21"/>
      <c r="H1155" s="21"/>
      <c r="I1155" s="21"/>
      <c r="J1155" s="21"/>
      <c r="K1155" s="21"/>
      <c r="L1155" s="21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</row>
    <row r="1156">
      <c r="A1156" s="7"/>
      <c r="B1156" s="21"/>
      <c r="C1156" s="21"/>
      <c r="D1156" s="21"/>
      <c r="E1156" s="21"/>
      <c r="F1156" s="21"/>
      <c r="G1156" s="21"/>
      <c r="H1156" s="21"/>
      <c r="I1156" s="21"/>
      <c r="J1156" s="21"/>
      <c r="K1156" s="21"/>
      <c r="L1156" s="21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</row>
    <row r="1157">
      <c r="A1157" s="7"/>
      <c r="B1157" s="21"/>
      <c r="C1157" s="21"/>
      <c r="D1157" s="21"/>
      <c r="E1157" s="21"/>
      <c r="F1157" s="21"/>
      <c r="G1157" s="21"/>
      <c r="H1157" s="21"/>
      <c r="I1157" s="21"/>
      <c r="J1157" s="21"/>
      <c r="K1157" s="21"/>
      <c r="L1157" s="21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</row>
    <row r="1158">
      <c r="A1158" s="7"/>
      <c r="B1158" s="21"/>
      <c r="C1158" s="21"/>
      <c r="D1158" s="21"/>
      <c r="E1158" s="21"/>
      <c r="F1158" s="21"/>
      <c r="G1158" s="21"/>
      <c r="H1158" s="21"/>
      <c r="I1158" s="21"/>
      <c r="J1158" s="21"/>
      <c r="K1158" s="21"/>
      <c r="L1158" s="21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</row>
    <row r="1159">
      <c r="A1159" s="7"/>
      <c r="B1159" s="21"/>
      <c r="C1159" s="21"/>
      <c r="D1159" s="21"/>
      <c r="E1159" s="21"/>
      <c r="F1159" s="21"/>
      <c r="G1159" s="21"/>
      <c r="H1159" s="21"/>
      <c r="I1159" s="21"/>
      <c r="J1159" s="21"/>
      <c r="K1159" s="21"/>
      <c r="L1159" s="21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</row>
    <row r="1160">
      <c r="A1160" s="7"/>
      <c r="B1160" s="21"/>
      <c r="C1160" s="21"/>
      <c r="D1160" s="21"/>
      <c r="E1160" s="21"/>
      <c r="F1160" s="21"/>
      <c r="G1160" s="21"/>
      <c r="H1160" s="21"/>
      <c r="I1160" s="21"/>
      <c r="J1160" s="21"/>
      <c r="K1160" s="21"/>
      <c r="L1160" s="21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</row>
    <row r="1161">
      <c r="A1161" s="7"/>
      <c r="B1161" s="21"/>
      <c r="C1161" s="21"/>
      <c r="D1161" s="21"/>
      <c r="E1161" s="21"/>
      <c r="F1161" s="21"/>
      <c r="G1161" s="21"/>
      <c r="H1161" s="21"/>
      <c r="I1161" s="21"/>
      <c r="J1161" s="21"/>
      <c r="K1161" s="21"/>
      <c r="L1161" s="21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</row>
    <row r="1162">
      <c r="A1162" s="7"/>
      <c r="B1162" s="21"/>
      <c r="C1162" s="21"/>
      <c r="D1162" s="21"/>
      <c r="E1162" s="21"/>
      <c r="F1162" s="21"/>
      <c r="G1162" s="21"/>
      <c r="H1162" s="21"/>
      <c r="I1162" s="21"/>
      <c r="J1162" s="21"/>
      <c r="K1162" s="21"/>
      <c r="L1162" s="21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</row>
    <row r="1163">
      <c r="A1163" s="7"/>
      <c r="B1163" s="21"/>
      <c r="C1163" s="21"/>
      <c r="D1163" s="21"/>
      <c r="E1163" s="21"/>
      <c r="F1163" s="21"/>
      <c r="G1163" s="21"/>
      <c r="H1163" s="21"/>
      <c r="I1163" s="21"/>
      <c r="J1163" s="21"/>
      <c r="K1163" s="21"/>
      <c r="L1163" s="21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</row>
    <row r="1164">
      <c r="A1164" s="7"/>
      <c r="B1164" s="21"/>
      <c r="C1164" s="21"/>
      <c r="D1164" s="21"/>
      <c r="E1164" s="21"/>
      <c r="F1164" s="21"/>
      <c r="G1164" s="21"/>
      <c r="H1164" s="21"/>
      <c r="I1164" s="21"/>
      <c r="J1164" s="21"/>
      <c r="K1164" s="21"/>
      <c r="L1164" s="21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</row>
    <row r="1165">
      <c r="A1165" s="7"/>
      <c r="B1165" s="21"/>
      <c r="C1165" s="21"/>
      <c r="D1165" s="21"/>
      <c r="E1165" s="21"/>
      <c r="F1165" s="21"/>
      <c r="G1165" s="21"/>
      <c r="H1165" s="21"/>
      <c r="I1165" s="21"/>
      <c r="J1165" s="21"/>
      <c r="K1165" s="21"/>
      <c r="L1165" s="21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</row>
    <row r="1166">
      <c r="A1166" s="7"/>
      <c r="B1166" s="21"/>
      <c r="C1166" s="21"/>
      <c r="D1166" s="21"/>
      <c r="E1166" s="21"/>
      <c r="F1166" s="21"/>
      <c r="G1166" s="21"/>
      <c r="H1166" s="21"/>
      <c r="I1166" s="21"/>
      <c r="J1166" s="21"/>
      <c r="K1166" s="21"/>
      <c r="L1166" s="21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</row>
    <row r="1167">
      <c r="A1167" s="7"/>
      <c r="B1167" s="21"/>
      <c r="C1167" s="21"/>
      <c r="D1167" s="21"/>
      <c r="E1167" s="21"/>
      <c r="F1167" s="21"/>
      <c r="G1167" s="21"/>
      <c r="H1167" s="21"/>
      <c r="I1167" s="21"/>
      <c r="J1167" s="21"/>
      <c r="K1167" s="21"/>
      <c r="L1167" s="21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</row>
    <row r="1168">
      <c r="A1168" s="7"/>
      <c r="B1168" s="21"/>
      <c r="C1168" s="21"/>
      <c r="D1168" s="21"/>
      <c r="E1168" s="21"/>
      <c r="F1168" s="21"/>
      <c r="G1168" s="21"/>
      <c r="H1168" s="21"/>
      <c r="I1168" s="21"/>
      <c r="J1168" s="21"/>
      <c r="K1168" s="21"/>
      <c r="L1168" s="21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</row>
    <row r="1169">
      <c r="A1169" s="7"/>
      <c r="B1169" s="21"/>
      <c r="C1169" s="21"/>
      <c r="D1169" s="21"/>
      <c r="E1169" s="21"/>
      <c r="F1169" s="21"/>
      <c r="G1169" s="21"/>
      <c r="H1169" s="21"/>
      <c r="I1169" s="21"/>
      <c r="J1169" s="21"/>
      <c r="K1169" s="21"/>
      <c r="L1169" s="21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</row>
    <row r="1170">
      <c r="A1170" s="7"/>
      <c r="B1170" s="21"/>
      <c r="C1170" s="21"/>
      <c r="D1170" s="21"/>
      <c r="E1170" s="21"/>
      <c r="F1170" s="21"/>
      <c r="G1170" s="21"/>
      <c r="H1170" s="21"/>
      <c r="I1170" s="21"/>
      <c r="J1170" s="21"/>
      <c r="K1170" s="21"/>
      <c r="L1170" s="21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</row>
    <row r="1171">
      <c r="A1171" s="7"/>
      <c r="B1171" s="21"/>
      <c r="C1171" s="21"/>
      <c r="D1171" s="21"/>
      <c r="E1171" s="21"/>
      <c r="F1171" s="21"/>
      <c r="G1171" s="21"/>
      <c r="H1171" s="21"/>
      <c r="I1171" s="21"/>
      <c r="J1171" s="21"/>
      <c r="K1171" s="21"/>
      <c r="L1171" s="21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</row>
    <row r="1172">
      <c r="A1172" s="7"/>
      <c r="B1172" s="21"/>
      <c r="C1172" s="21"/>
      <c r="D1172" s="21"/>
      <c r="E1172" s="21"/>
      <c r="F1172" s="21"/>
      <c r="G1172" s="21"/>
      <c r="H1172" s="21"/>
      <c r="I1172" s="21"/>
      <c r="J1172" s="21"/>
      <c r="K1172" s="21"/>
      <c r="L1172" s="21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</row>
    <row r="1173">
      <c r="A1173" s="7"/>
      <c r="B1173" s="21"/>
      <c r="C1173" s="21"/>
      <c r="D1173" s="21"/>
      <c r="E1173" s="21"/>
      <c r="F1173" s="21"/>
      <c r="G1173" s="21"/>
      <c r="H1173" s="21"/>
      <c r="I1173" s="21"/>
      <c r="J1173" s="21"/>
      <c r="K1173" s="21"/>
      <c r="L1173" s="21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</row>
    <row r="1174">
      <c r="A1174" s="7"/>
      <c r="B1174" s="21"/>
      <c r="C1174" s="21"/>
      <c r="D1174" s="21"/>
      <c r="E1174" s="21"/>
      <c r="F1174" s="21"/>
      <c r="G1174" s="21"/>
      <c r="H1174" s="21"/>
      <c r="I1174" s="21"/>
      <c r="J1174" s="21"/>
      <c r="K1174" s="21"/>
      <c r="L1174" s="21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</row>
    <row r="1175">
      <c r="A1175" s="7"/>
      <c r="B1175" s="21"/>
      <c r="C1175" s="21"/>
      <c r="D1175" s="21"/>
      <c r="E1175" s="21"/>
      <c r="F1175" s="21"/>
      <c r="G1175" s="21"/>
      <c r="H1175" s="21"/>
      <c r="I1175" s="21"/>
      <c r="J1175" s="21"/>
      <c r="K1175" s="21"/>
      <c r="L1175" s="21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</row>
    <row r="1176">
      <c r="A1176" s="7"/>
      <c r="B1176" s="21"/>
      <c r="C1176" s="21"/>
      <c r="D1176" s="21"/>
      <c r="E1176" s="21"/>
      <c r="F1176" s="21"/>
      <c r="G1176" s="21"/>
      <c r="H1176" s="21"/>
      <c r="I1176" s="21"/>
      <c r="J1176" s="21"/>
      <c r="K1176" s="21"/>
      <c r="L1176" s="21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</row>
    <row r="1177">
      <c r="A1177" s="7"/>
      <c r="B1177" s="21"/>
      <c r="C1177" s="21"/>
      <c r="D1177" s="21"/>
      <c r="E1177" s="21"/>
      <c r="F1177" s="21"/>
      <c r="G1177" s="21"/>
      <c r="H1177" s="21"/>
      <c r="I1177" s="21"/>
      <c r="J1177" s="21"/>
      <c r="K1177" s="21"/>
      <c r="L1177" s="21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</row>
    <row r="1178">
      <c r="A1178" s="7"/>
      <c r="B1178" s="21"/>
      <c r="C1178" s="21"/>
      <c r="D1178" s="21"/>
      <c r="E1178" s="21"/>
      <c r="F1178" s="21"/>
      <c r="G1178" s="21"/>
      <c r="H1178" s="21"/>
      <c r="I1178" s="21"/>
      <c r="J1178" s="21"/>
      <c r="K1178" s="21"/>
      <c r="L1178" s="21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</row>
    <row r="1179">
      <c r="A1179" s="7"/>
      <c r="B1179" s="21"/>
      <c r="C1179" s="21"/>
      <c r="D1179" s="21"/>
      <c r="E1179" s="21"/>
      <c r="F1179" s="21"/>
      <c r="G1179" s="21"/>
      <c r="H1179" s="21"/>
      <c r="I1179" s="21"/>
      <c r="J1179" s="21"/>
      <c r="K1179" s="21"/>
      <c r="L1179" s="21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</row>
    <row r="1180">
      <c r="A1180" s="7"/>
      <c r="B1180" s="21"/>
      <c r="C1180" s="21"/>
      <c r="D1180" s="21"/>
      <c r="E1180" s="21"/>
      <c r="F1180" s="21"/>
      <c r="G1180" s="21"/>
      <c r="H1180" s="21"/>
      <c r="I1180" s="21"/>
      <c r="J1180" s="21"/>
      <c r="K1180" s="21"/>
      <c r="L1180" s="21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</row>
    <row r="1181">
      <c r="A1181" s="7"/>
      <c r="B1181" s="21"/>
      <c r="C1181" s="21"/>
      <c r="D1181" s="21"/>
      <c r="E1181" s="21"/>
      <c r="F1181" s="21"/>
      <c r="G1181" s="21"/>
      <c r="H1181" s="21"/>
      <c r="I1181" s="21"/>
      <c r="J1181" s="21"/>
      <c r="K1181" s="21"/>
      <c r="L1181" s="21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</row>
    <row r="1182">
      <c r="A1182" s="7"/>
      <c r="B1182" s="21"/>
      <c r="C1182" s="21"/>
      <c r="D1182" s="21"/>
      <c r="E1182" s="21"/>
      <c r="F1182" s="21"/>
      <c r="G1182" s="21"/>
      <c r="H1182" s="21"/>
      <c r="I1182" s="21"/>
      <c r="J1182" s="21"/>
      <c r="K1182" s="21"/>
      <c r="L1182" s="21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</row>
    <row r="1183">
      <c r="A1183" s="7"/>
      <c r="B1183" s="21"/>
      <c r="C1183" s="21"/>
      <c r="D1183" s="21"/>
      <c r="E1183" s="21"/>
      <c r="F1183" s="21"/>
      <c r="G1183" s="21"/>
      <c r="H1183" s="21"/>
      <c r="I1183" s="21"/>
      <c r="J1183" s="21"/>
      <c r="K1183" s="21"/>
      <c r="L1183" s="21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</row>
    <row r="1184">
      <c r="A1184" s="7"/>
      <c r="B1184" s="21"/>
      <c r="C1184" s="21"/>
      <c r="D1184" s="21"/>
      <c r="E1184" s="21"/>
      <c r="F1184" s="21"/>
      <c r="G1184" s="21"/>
      <c r="H1184" s="21"/>
      <c r="I1184" s="21"/>
      <c r="J1184" s="21"/>
      <c r="K1184" s="21"/>
      <c r="L1184" s="21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</row>
    <row r="1185">
      <c r="A1185" s="7"/>
      <c r="B1185" s="21"/>
      <c r="C1185" s="21"/>
      <c r="D1185" s="21"/>
      <c r="E1185" s="21"/>
      <c r="F1185" s="21"/>
      <c r="G1185" s="21"/>
      <c r="H1185" s="21"/>
      <c r="I1185" s="21"/>
      <c r="J1185" s="21"/>
      <c r="K1185" s="21"/>
      <c r="L1185" s="21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</row>
    <row r="1186">
      <c r="A1186" s="7"/>
      <c r="B1186" s="21"/>
      <c r="C1186" s="21"/>
      <c r="D1186" s="21"/>
      <c r="E1186" s="21"/>
      <c r="F1186" s="21"/>
      <c r="G1186" s="21"/>
      <c r="H1186" s="21"/>
      <c r="I1186" s="21"/>
      <c r="J1186" s="21"/>
      <c r="K1186" s="21"/>
      <c r="L1186" s="21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</row>
    <row r="1187">
      <c r="A1187" s="7"/>
      <c r="B1187" s="21"/>
      <c r="C1187" s="21"/>
      <c r="D1187" s="21"/>
      <c r="E1187" s="21"/>
      <c r="F1187" s="21"/>
      <c r="G1187" s="21"/>
      <c r="H1187" s="21"/>
      <c r="I1187" s="21"/>
      <c r="J1187" s="21"/>
      <c r="K1187" s="21"/>
      <c r="L1187" s="21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</row>
    <row r="1188">
      <c r="A1188" s="7"/>
      <c r="B1188" s="21"/>
      <c r="C1188" s="21"/>
      <c r="D1188" s="21"/>
      <c r="E1188" s="21"/>
      <c r="F1188" s="21"/>
      <c r="G1188" s="21"/>
      <c r="H1188" s="21"/>
      <c r="I1188" s="21"/>
      <c r="J1188" s="21"/>
      <c r="K1188" s="21"/>
      <c r="L1188" s="21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</row>
    <row r="1189">
      <c r="A1189" s="7"/>
      <c r="B1189" s="21"/>
      <c r="C1189" s="21"/>
      <c r="D1189" s="21"/>
      <c r="E1189" s="21"/>
      <c r="F1189" s="21"/>
      <c r="G1189" s="21"/>
      <c r="H1189" s="21"/>
      <c r="I1189" s="21"/>
      <c r="J1189" s="21"/>
      <c r="K1189" s="21"/>
      <c r="L1189" s="21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</row>
    <row r="1190">
      <c r="A1190" s="7"/>
      <c r="B1190" s="21"/>
      <c r="C1190" s="21"/>
      <c r="D1190" s="21"/>
      <c r="E1190" s="21"/>
      <c r="F1190" s="21"/>
      <c r="G1190" s="21"/>
      <c r="H1190" s="21"/>
      <c r="I1190" s="21"/>
      <c r="J1190" s="21"/>
      <c r="K1190" s="21"/>
      <c r="L1190" s="21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</row>
    <row r="1191">
      <c r="A1191" s="7"/>
      <c r="B1191" s="21"/>
      <c r="C1191" s="21"/>
      <c r="D1191" s="21"/>
      <c r="E1191" s="21"/>
      <c r="F1191" s="21"/>
      <c r="G1191" s="21"/>
      <c r="H1191" s="21"/>
      <c r="I1191" s="21"/>
      <c r="J1191" s="21"/>
      <c r="K1191" s="21"/>
      <c r="L1191" s="21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</row>
    <row r="1192">
      <c r="A1192" s="7"/>
      <c r="B1192" s="21"/>
      <c r="C1192" s="21"/>
      <c r="D1192" s="21"/>
      <c r="E1192" s="21"/>
      <c r="F1192" s="21"/>
      <c r="G1192" s="21"/>
      <c r="H1192" s="21"/>
      <c r="I1192" s="21"/>
      <c r="J1192" s="21"/>
      <c r="K1192" s="21"/>
      <c r="L1192" s="21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</row>
    <row r="1193">
      <c r="A1193" s="7"/>
      <c r="B1193" s="21"/>
      <c r="C1193" s="21"/>
      <c r="D1193" s="21"/>
      <c r="E1193" s="21"/>
      <c r="F1193" s="21"/>
      <c r="G1193" s="21"/>
      <c r="H1193" s="21"/>
      <c r="I1193" s="21"/>
      <c r="J1193" s="21"/>
      <c r="K1193" s="21"/>
      <c r="L1193" s="21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</row>
    <row r="1194">
      <c r="A1194" s="7"/>
      <c r="B1194" s="21"/>
      <c r="C1194" s="21"/>
      <c r="D1194" s="21"/>
      <c r="E1194" s="21"/>
      <c r="F1194" s="21"/>
      <c r="G1194" s="21"/>
      <c r="H1194" s="21"/>
      <c r="I1194" s="21"/>
      <c r="J1194" s="21"/>
      <c r="K1194" s="21"/>
      <c r="L1194" s="21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</row>
    <row r="1195">
      <c r="A1195" s="7"/>
      <c r="B1195" s="21"/>
      <c r="C1195" s="21"/>
      <c r="D1195" s="21"/>
      <c r="E1195" s="21"/>
      <c r="F1195" s="21"/>
      <c r="G1195" s="21"/>
      <c r="H1195" s="21"/>
      <c r="I1195" s="21"/>
      <c r="J1195" s="21"/>
      <c r="K1195" s="21"/>
      <c r="L1195" s="21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</row>
    <row r="1196">
      <c r="A1196" s="7"/>
      <c r="B1196" s="21"/>
      <c r="C1196" s="21"/>
      <c r="D1196" s="21"/>
      <c r="E1196" s="21"/>
      <c r="F1196" s="21"/>
      <c r="G1196" s="21"/>
      <c r="H1196" s="21"/>
      <c r="I1196" s="21"/>
      <c r="J1196" s="21"/>
      <c r="K1196" s="21"/>
      <c r="L1196" s="21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</row>
    <row r="1197">
      <c r="A1197" s="7"/>
      <c r="B1197" s="21"/>
      <c r="C1197" s="21"/>
      <c r="D1197" s="21"/>
      <c r="E1197" s="21"/>
      <c r="F1197" s="21"/>
      <c r="G1197" s="21"/>
      <c r="H1197" s="21"/>
      <c r="I1197" s="21"/>
      <c r="J1197" s="21"/>
      <c r="K1197" s="21"/>
      <c r="L1197" s="21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</row>
    <row r="1198">
      <c r="A1198" s="7"/>
      <c r="B1198" s="21"/>
      <c r="C1198" s="21"/>
      <c r="D1198" s="21"/>
      <c r="E1198" s="21"/>
      <c r="F1198" s="21"/>
      <c r="G1198" s="21"/>
      <c r="H1198" s="21"/>
      <c r="I1198" s="21"/>
      <c r="J1198" s="21"/>
      <c r="K1198" s="21"/>
      <c r="L1198" s="21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</row>
    <row r="1199">
      <c r="A1199" s="7"/>
      <c r="B1199" s="21"/>
      <c r="C1199" s="21"/>
      <c r="D1199" s="21"/>
      <c r="E1199" s="21"/>
      <c r="F1199" s="21"/>
      <c r="G1199" s="21"/>
      <c r="H1199" s="21"/>
      <c r="I1199" s="21"/>
      <c r="J1199" s="21"/>
      <c r="K1199" s="21"/>
      <c r="L1199" s="21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</row>
    <row r="1200">
      <c r="A1200" s="7"/>
      <c r="B1200" s="21"/>
      <c r="C1200" s="21"/>
      <c r="D1200" s="21"/>
      <c r="E1200" s="21"/>
      <c r="F1200" s="21"/>
      <c r="G1200" s="21"/>
      <c r="H1200" s="21"/>
      <c r="I1200" s="21"/>
      <c r="J1200" s="21"/>
      <c r="K1200" s="21"/>
      <c r="L1200" s="21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</row>
    <row r="1201">
      <c r="A1201" s="7"/>
      <c r="B1201" s="21"/>
      <c r="C1201" s="21"/>
      <c r="D1201" s="21"/>
      <c r="E1201" s="21"/>
      <c r="F1201" s="21"/>
      <c r="G1201" s="21"/>
      <c r="H1201" s="21"/>
      <c r="I1201" s="21"/>
      <c r="J1201" s="21"/>
      <c r="K1201" s="21"/>
      <c r="L1201" s="21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</row>
    <row r="1202">
      <c r="A1202" s="7"/>
      <c r="B1202" s="21"/>
      <c r="C1202" s="21"/>
      <c r="D1202" s="21"/>
      <c r="E1202" s="21"/>
      <c r="F1202" s="21"/>
      <c r="G1202" s="21"/>
      <c r="H1202" s="21"/>
      <c r="I1202" s="21"/>
      <c r="J1202" s="21"/>
      <c r="K1202" s="21"/>
      <c r="L1202" s="21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</row>
    <row r="1203">
      <c r="A1203" s="7"/>
      <c r="B1203" s="21"/>
      <c r="C1203" s="21"/>
      <c r="D1203" s="21"/>
      <c r="E1203" s="21"/>
      <c r="F1203" s="21"/>
      <c r="G1203" s="21"/>
      <c r="H1203" s="21"/>
      <c r="I1203" s="21"/>
      <c r="J1203" s="21"/>
      <c r="K1203" s="21"/>
      <c r="L1203" s="21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</row>
    <row r="1204">
      <c r="A1204" s="7"/>
      <c r="B1204" s="21"/>
      <c r="C1204" s="21"/>
      <c r="D1204" s="21"/>
      <c r="E1204" s="21"/>
      <c r="F1204" s="21"/>
      <c r="G1204" s="21"/>
      <c r="H1204" s="21"/>
      <c r="I1204" s="21"/>
      <c r="J1204" s="21"/>
      <c r="K1204" s="21"/>
      <c r="L1204" s="21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</row>
    <row r="1205">
      <c r="A1205" s="7"/>
      <c r="B1205" s="21"/>
      <c r="C1205" s="21"/>
      <c r="D1205" s="21"/>
      <c r="E1205" s="21"/>
      <c r="F1205" s="21"/>
      <c r="G1205" s="21"/>
      <c r="H1205" s="21"/>
      <c r="I1205" s="21"/>
      <c r="J1205" s="21"/>
      <c r="K1205" s="21"/>
      <c r="L1205" s="21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</row>
    <row r="1206">
      <c r="A1206" s="7"/>
      <c r="B1206" s="21"/>
      <c r="C1206" s="21"/>
      <c r="D1206" s="21"/>
      <c r="E1206" s="21"/>
      <c r="F1206" s="21"/>
      <c r="G1206" s="21"/>
      <c r="H1206" s="21"/>
      <c r="I1206" s="21"/>
      <c r="J1206" s="21"/>
      <c r="K1206" s="21"/>
      <c r="L1206" s="21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  <c r="AC1206" s="7"/>
      <c r="AD1206" s="7"/>
      <c r="AE1206" s="7"/>
    </row>
    <row r="1207">
      <c r="A1207" s="7"/>
      <c r="B1207" s="21"/>
      <c r="C1207" s="21"/>
      <c r="D1207" s="21"/>
      <c r="E1207" s="21"/>
      <c r="F1207" s="21"/>
      <c r="G1207" s="21"/>
      <c r="H1207" s="21"/>
      <c r="I1207" s="21"/>
      <c r="J1207" s="21"/>
      <c r="K1207" s="21"/>
      <c r="L1207" s="21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</row>
    <row r="1208">
      <c r="A1208" s="7"/>
      <c r="B1208" s="21"/>
      <c r="C1208" s="21"/>
      <c r="D1208" s="21"/>
      <c r="E1208" s="21"/>
      <c r="F1208" s="21"/>
      <c r="G1208" s="21"/>
      <c r="H1208" s="21"/>
      <c r="I1208" s="21"/>
      <c r="J1208" s="21"/>
      <c r="K1208" s="21"/>
      <c r="L1208" s="21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</row>
    <row r="1209">
      <c r="A1209" s="7"/>
      <c r="B1209" s="21"/>
      <c r="C1209" s="21"/>
      <c r="D1209" s="21"/>
      <c r="E1209" s="21"/>
      <c r="F1209" s="21"/>
      <c r="G1209" s="21"/>
      <c r="H1209" s="21"/>
      <c r="I1209" s="21"/>
      <c r="J1209" s="21"/>
      <c r="K1209" s="21"/>
      <c r="L1209" s="21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  <c r="AC1209" s="7"/>
      <c r="AD1209" s="7"/>
      <c r="AE1209" s="7"/>
    </row>
    <row r="1210">
      <c r="A1210" s="7"/>
      <c r="B1210" s="21"/>
      <c r="C1210" s="21"/>
      <c r="D1210" s="21"/>
      <c r="E1210" s="21"/>
      <c r="F1210" s="21"/>
      <c r="G1210" s="21"/>
      <c r="H1210" s="21"/>
      <c r="I1210" s="21"/>
      <c r="J1210" s="21"/>
      <c r="K1210" s="21"/>
      <c r="L1210" s="21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</row>
    <row r="1211">
      <c r="A1211" s="7"/>
      <c r="B1211" s="21"/>
      <c r="C1211" s="21"/>
      <c r="D1211" s="21"/>
      <c r="E1211" s="21"/>
      <c r="F1211" s="21"/>
      <c r="G1211" s="21"/>
      <c r="H1211" s="21"/>
      <c r="I1211" s="21"/>
      <c r="J1211" s="21"/>
      <c r="K1211" s="21"/>
      <c r="L1211" s="21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</row>
    <row r="1212">
      <c r="A1212" s="7"/>
      <c r="B1212" s="21"/>
      <c r="C1212" s="21"/>
      <c r="D1212" s="21"/>
      <c r="E1212" s="21"/>
      <c r="F1212" s="21"/>
      <c r="G1212" s="21"/>
      <c r="H1212" s="21"/>
      <c r="I1212" s="21"/>
      <c r="J1212" s="21"/>
      <c r="K1212" s="21"/>
      <c r="L1212" s="21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</row>
    <row r="1213">
      <c r="A1213" s="7"/>
      <c r="B1213" s="21"/>
      <c r="C1213" s="21"/>
      <c r="D1213" s="21"/>
      <c r="E1213" s="21"/>
      <c r="F1213" s="21"/>
      <c r="G1213" s="21"/>
      <c r="H1213" s="21"/>
      <c r="I1213" s="21"/>
      <c r="J1213" s="21"/>
      <c r="K1213" s="21"/>
      <c r="L1213" s="21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</row>
    <row r="1214">
      <c r="A1214" s="7"/>
      <c r="B1214" s="21"/>
      <c r="C1214" s="21"/>
      <c r="D1214" s="21"/>
      <c r="E1214" s="21"/>
      <c r="F1214" s="21"/>
      <c r="G1214" s="21"/>
      <c r="H1214" s="21"/>
      <c r="I1214" s="21"/>
      <c r="J1214" s="21"/>
      <c r="K1214" s="21"/>
      <c r="L1214" s="21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</row>
    <row r="1215">
      <c r="A1215" s="7"/>
      <c r="B1215" s="21"/>
      <c r="C1215" s="21"/>
      <c r="D1215" s="21"/>
      <c r="E1215" s="21"/>
      <c r="F1215" s="21"/>
      <c r="G1215" s="21"/>
      <c r="H1215" s="21"/>
      <c r="I1215" s="21"/>
      <c r="J1215" s="21"/>
      <c r="K1215" s="21"/>
      <c r="L1215" s="21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</row>
    <row r="1216">
      <c r="A1216" s="7"/>
      <c r="B1216" s="21"/>
      <c r="C1216" s="21"/>
      <c r="D1216" s="21"/>
      <c r="E1216" s="21"/>
      <c r="F1216" s="21"/>
      <c r="G1216" s="21"/>
      <c r="H1216" s="21"/>
      <c r="I1216" s="21"/>
      <c r="J1216" s="21"/>
      <c r="K1216" s="21"/>
      <c r="L1216" s="21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</row>
    <row r="1217">
      <c r="A1217" s="7"/>
      <c r="B1217" s="21"/>
      <c r="C1217" s="21"/>
      <c r="D1217" s="21"/>
      <c r="E1217" s="21"/>
      <c r="F1217" s="21"/>
      <c r="G1217" s="21"/>
      <c r="H1217" s="21"/>
      <c r="I1217" s="21"/>
      <c r="J1217" s="21"/>
      <c r="K1217" s="21"/>
      <c r="L1217" s="21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</row>
    <row r="1218">
      <c r="A1218" s="7"/>
      <c r="B1218" s="21"/>
      <c r="C1218" s="21"/>
      <c r="D1218" s="21"/>
      <c r="E1218" s="21"/>
      <c r="F1218" s="21"/>
      <c r="G1218" s="21"/>
      <c r="H1218" s="21"/>
      <c r="I1218" s="21"/>
      <c r="J1218" s="21"/>
      <c r="K1218" s="21"/>
      <c r="L1218" s="21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  <c r="AC1218" s="7"/>
      <c r="AD1218" s="7"/>
      <c r="AE1218" s="7"/>
    </row>
    <row r="1219">
      <c r="A1219" s="7"/>
      <c r="B1219" s="21"/>
      <c r="C1219" s="21"/>
      <c r="D1219" s="21"/>
      <c r="E1219" s="21"/>
      <c r="F1219" s="21"/>
      <c r="G1219" s="21"/>
      <c r="H1219" s="21"/>
      <c r="I1219" s="21"/>
      <c r="J1219" s="21"/>
      <c r="K1219" s="21"/>
      <c r="L1219" s="21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</row>
    <row r="1220">
      <c r="A1220" s="7"/>
      <c r="B1220" s="21"/>
      <c r="C1220" s="21"/>
      <c r="D1220" s="21"/>
      <c r="E1220" s="21"/>
      <c r="F1220" s="21"/>
      <c r="G1220" s="21"/>
      <c r="H1220" s="21"/>
      <c r="I1220" s="21"/>
      <c r="J1220" s="21"/>
      <c r="K1220" s="21"/>
      <c r="L1220" s="21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  <c r="AC1220" s="7"/>
      <c r="AD1220" s="7"/>
      <c r="AE1220" s="7"/>
    </row>
    <row r="1221">
      <c r="A1221" s="7"/>
      <c r="B1221" s="21"/>
      <c r="C1221" s="21"/>
      <c r="D1221" s="21"/>
      <c r="E1221" s="21"/>
      <c r="F1221" s="21"/>
      <c r="G1221" s="21"/>
      <c r="H1221" s="21"/>
      <c r="I1221" s="21"/>
      <c r="J1221" s="21"/>
      <c r="K1221" s="21"/>
      <c r="L1221" s="21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</row>
    <row r="1222">
      <c r="A1222" s="7"/>
      <c r="B1222" s="21"/>
      <c r="C1222" s="21"/>
      <c r="D1222" s="21"/>
      <c r="E1222" s="21"/>
      <c r="F1222" s="21"/>
      <c r="G1222" s="21"/>
      <c r="H1222" s="21"/>
      <c r="I1222" s="21"/>
      <c r="J1222" s="21"/>
      <c r="K1222" s="21"/>
      <c r="L1222" s="21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</row>
    <row r="1223">
      <c r="A1223" s="7"/>
      <c r="B1223" s="21"/>
      <c r="C1223" s="21"/>
      <c r="D1223" s="21"/>
      <c r="E1223" s="21"/>
      <c r="F1223" s="21"/>
      <c r="G1223" s="21"/>
      <c r="H1223" s="21"/>
      <c r="I1223" s="21"/>
      <c r="J1223" s="21"/>
      <c r="K1223" s="21"/>
      <c r="L1223" s="21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</row>
    <row r="1224">
      <c r="A1224" s="7"/>
      <c r="B1224" s="21"/>
      <c r="C1224" s="21"/>
      <c r="D1224" s="21"/>
      <c r="E1224" s="21"/>
      <c r="F1224" s="21"/>
      <c r="G1224" s="21"/>
      <c r="H1224" s="21"/>
      <c r="I1224" s="21"/>
      <c r="J1224" s="21"/>
      <c r="K1224" s="21"/>
      <c r="L1224" s="21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  <c r="AC1224" s="7"/>
      <c r="AD1224" s="7"/>
      <c r="AE1224" s="7"/>
    </row>
    <row r="1225">
      <c r="A1225" s="7"/>
      <c r="B1225" s="21"/>
      <c r="C1225" s="21"/>
      <c r="D1225" s="21"/>
      <c r="E1225" s="21"/>
      <c r="F1225" s="21"/>
      <c r="G1225" s="21"/>
      <c r="H1225" s="21"/>
      <c r="I1225" s="21"/>
      <c r="J1225" s="21"/>
      <c r="K1225" s="21"/>
      <c r="L1225" s="21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  <c r="AC1225" s="7"/>
      <c r="AD1225" s="7"/>
      <c r="AE1225" s="7"/>
    </row>
    <row r="1226">
      <c r="A1226" s="7"/>
      <c r="B1226" s="21"/>
      <c r="C1226" s="21"/>
      <c r="D1226" s="21"/>
      <c r="E1226" s="21"/>
      <c r="F1226" s="21"/>
      <c r="G1226" s="21"/>
      <c r="H1226" s="21"/>
      <c r="I1226" s="21"/>
      <c r="J1226" s="21"/>
      <c r="K1226" s="21"/>
      <c r="L1226" s="21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  <c r="AC1226" s="7"/>
      <c r="AD1226" s="7"/>
      <c r="AE1226" s="7"/>
    </row>
    <row r="1227">
      <c r="A1227" s="7"/>
      <c r="B1227" s="21"/>
      <c r="C1227" s="21"/>
      <c r="D1227" s="21"/>
      <c r="E1227" s="21"/>
      <c r="F1227" s="21"/>
      <c r="G1227" s="21"/>
      <c r="H1227" s="21"/>
      <c r="I1227" s="21"/>
      <c r="J1227" s="21"/>
      <c r="K1227" s="21"/>
      <c r="L1227" s="21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  <c r="AC1227" s="7"/>
      <c r="AD1227" s="7"/>
      <c r="AE1227" s="7"/>
    </row>
    <row r="1228">
      <c r="A1228" s="7"/>
      <c r="B1228" s="21"/>
      <c r="C1228" s="21"/>
      <c r="D1228" s="21"/>
      <c r="E1228" s="21"/>
      <c r="F1228" s="21"/>
      <c r="G1228" s="21"/>
      <c r="H1228" s="21"/>
      <c r="I1228" s="21"/>
      <c r="J1228" s="21"/>
      <c r="K1228" s="21"/>
      <c r="L1228" s="21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  <c r="AC1228" s="7"/>
      <c r="AD1228" s="7"/>
      <c r="AE1228" s="7"/>
    </row>
    <row r="1229">
      <c r="A1229" s="7"/>
      <c r="B1229" s="21"/>
      <c r="C1229" s="21"/>
      <c r="D1229" s="21"/>
      <c r="E1229" s="21"/>
      <c r="F1229" s="21"/>
      <c r="G1229" s="21"/>
      <c r="H1229" s="21"/>
      <c r="I1229" s="21"/>
      <c r="J1229" s="21"/>
      <c r="K1229" s="21"/>
      <c r="L1229" s="21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  <c r="AE1229" s="7"/>
    </row>
    <row r="1230">
      <c r="A1230" s="7"/>
      <c r="B1230" s="21"/>
      <c r="C1230" s="21"/>
      <c r="D1230" s="21"/>
      <c r="E1230" s="21"/>
      <c r="F1230" s="21"/>
      <c r="G1230" s="21"/>
      <c r="H1230" s="21"/>
      <c r="I1230" s="21"/>
      <c r="J1230" s="21"/>
      <c r="K1230" s="21"/>
      <c r="L1230" s="21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  <c r="AE1230" s="7"/>
    </row>
    <row r="1231">
      <c r="A1231" s="7"/>
      <c r="B1231" s="21"/>
      <c r="C1231" s="21"/>
      <c r="D1231" s="21"/>
      <c r="E1231" s="21"/>
      <c r="F1231" s="21"/>
      <c r="G1231" s="21"/>
      <c r="H1231" s="21"/>
      <c r="I1231" s="21"/>
      <c r="J1231" s="21"/>
      <c r="K1231" s="21"/>
      <c r="L1231" s="21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  <c r="AE1231" s="7"/>
    </row>
    <row r="1232">
      <c r="A1232" s="7"/>
      <c r="B1232" s="21"/>
      <c r="C1232" s="21"/>
      <c r="D1232" s="21"/>
      <c r="E1232" s="21"/>
      <c r="F1232" s="21"/>
      <c r="G1232" s="21"/>
      <c r="H1232" s="21"/>
      <c r="I1232" s="21"/>
      <c r="J1232" s="21"/>
      <c r="K1232" s="21"/>
      <c r="L1232" s="21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  <c r="AE1232" s="7"/>
    </row>
    <row r="1233">
      <c r="A1233" s="7"/>
      <c r="B1233" s="21"/>
      <c r="C1233" s="21"/>
      <c r="D1233" s="21"/>
      <c r="E1233" s="21"/>
      <c r="F1233" s="21"/>
      <c r="G1233" s="21"/>
      <c r="H1233" s="21"/>
      <c r="I1233" s="21"/>
      <c r="J1233" s="21"/>
      <c r="K1233" s="21"/>
      <c r="L1233" s="21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</row>
    <row r="1234">
      <c r="A1234" s="7"/>
      <c r="B1234" s="21"/>
      <c r="C1234" s="21"/>
      <c r="D1234" s="21"/>
      <c r="E1234" s="21"/>
      <c r="F1234" s="21"/>
      <c r="G1234" s="21"/>
      <c r="H1234" s="21"/>
      <c r="I1234" s="21"/>
      <c r="J1234" s="21"/>
      <c r="K1234" s="21"/>
      <c r="L1234" s="21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  <c r="AE1234" s="7"/>
    </row>
    <row r="1235">
      <c r="A1235" s="7"/>
      <c r="B1235" s="21"/>
      <c r="C1235" s="21"/>
      <c r="D1235" s="21"/>
      <c r="E1235" s="21"/>
      <c r="F1235" s="21"/>
      <c r="G1235" s="21"/>
      <c r="H1235" s="21"/>
      <c r="I1235" s="21"/>
      <c r="J1235" s="21"/>
      <c r="K1235" s="21"/>
      <c r="L1235" s="21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  <c r="AE1235" s="7"/>
    </row>
    <row r="1236">
      <c r="A1236" s="7"/>
      <c r="B1236" s="21"/>
      <c r="C1236" s="21"/>
      <c r="D1236" s="21"/>
      <c r="E1236" s="21"/>
      <c r="F1236" s="21"/>
      <c r="G1236" s="21"/>
      <c r="H1236" s="21"/>
      <c r="I1236" s="21"/>
      <c r="J1236" s="21"/>
      <c r="K1236" s="21"/>
      <c r="L1236" s="21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  <c r="AE1236" s="7"/>
    </row>
    <row r="1237">
      <c r="A1237" s="7"/>
      <c r="B1237" s="21"/>
      <c r="C1237" s="21"/>
      <c r="D1237" s="21"/>
      <c r="E1237" s="21"/>
      <c r="F1237" s="21"/>
      <c r="G1237" s="21"/>
      <c r="H1237" s="21"/>
      <c r="I1237" s="21"/>
      <c r="J1237" s="21"/>
      <c r="K1237" s="21"/>
      <c r="L1237" s="21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  <c r="AE1237" s="7"/>
    </row>
    <row r="1238">
      <c r="A1238" s="7"/>
      <c r="B1238" s="21"/>
      <c r="C1238" s="21"/>
      <c r="D1238" s="21"/>
      <c r="E1238" s="21"/>
      <c r="F1238" s="21"/>
      <c r="G1238" s="21"/>
      <c r="H1238" s="21"/>
      <c r="I1238" s="21"/>
      <c r="J1238" s="21"/>
      <c r="K1238" s="21"/>
      <c r="L1238" s="21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  <c r="AE1238" s="7"/>
    </row>
    <row r="1239">
      <c r="A1239" s="7"/>
      <c r="B1239" s="21"/>
      <c r="C1239" s="21"/>
      <c r="D1239" s="21"/>
      <c r="E1239" s="21"/>
      <c r="F1239" s="21"/>
      <c r="G1239" s="21"/>
      <c r="H1239" s="21"/>
      <c r="I1239" s="21"/>
      <c r="J1239" s="21"/>
      <c r="K1239" s="21"/>
      <c r="L1239" s="21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  <c r="AE1239" s="7"/>
    </row>
    <row r="1240">
      <c r="A1240" s="7"/>
      <c r="B1240" s="21"/>
      <c r="C1240" s="21"/>
      <c r="D1240" s="21"/>
      <c r="E1240" s="21"/>
      <c r="F1240" s="21"/>
      <c r="G1240" s="21"/>
      <c r="H1240" s="21"/>
      <c r="I1240" s="21"/>
      <c r="J1240" s="21"/>
      <c r="K1240" s="21"/>
      <c r="L1240" s="21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</row>
    <row r="1241">
      <c r="A1241" s="7"/>
      <c r="B1241" s="21"/>
      <c r="C1241" s="21"/>
      <c r="D1241" s="21"/>
      <c r="E1241" s="21"/>
      <c r="F1241" s="21"/>
      <c r="G1241" s="21"/>
      <c r="H1241" s="21"/>
      <c r="I1241" s="21"/>
      <c r="J1241" s="21"/>
      <c r="K1241" s="21"/>
      <c r="L1241" s="21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  <c r="AE1241" s="7"/>
    </row>
    <row r="1242">
      <c r="A1242" s="7"/>
      <c r="B1242" s="21"/>
      <c r="C1242" s="21"/>
      <c r="D1242" s="21"/>
      <c r="E1242" s="21"/>
      <c r="F1242" s="21"/>
      <c r="G1242" s="21"/>
      <c r="H1242" s="21"/>
      <c r="I1242" s="21"/>
      <c r="J1242" s="21"/>
      <c r="K1242" s="21"/>
      <c r="L1242" s="21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  <c r="AE1242" s="7"/>
    </row>
    <row r="1243">
      <c r="A1243" s="7"/>
      <c r="B1243" s="21"/>
      <c r="C1243" s="21"/>
      <c r="D1243" s="21"/>
      <c r="E1243" s="21"/>
      <c r="F1243" s="21"/>
      <c r="G1243" s="21"/>
      <c r="H1243" s="21"/>
      <c r="I1243" s="21"/>
      <c r="J1243" s="21"/>
      <c r="K1243" s="21"/>
      <c r="L1243" s="21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  <c r="AE1243" s="7"/>
    </row>
    <row r="1244">
      <c r="A1244" s="7"/>
      <c r="B1244" s="21"/>
      <c r="C1244" s="21"/>
      <c r="D1244" s="21"/>
      <c r="E1244" s="21"/>
      <c r="F1244" s="21"/>
      <c r="G1244" s="21"/>
      <c r="H1244" s="21"/>
      <c r="I1244" s="21"/>
      <c r="J1244" s="21"/>
      <c r="K1244" s="21"/>
      <c r="L1244" s="21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  <c r="AE1244" s="7"/>
    </row>
    <row r="1245">
      <c r="A1245" s="7"/>
      <c r="B1245" s="21"/>
      <c r="C1245" s="21"/>
      <c r="D1245" s="21"/>
      <c r="E1245" s="21"/>
      <c r="F1245" s="21"/>
      <c r="G1245" s="21"/>
      <c r="H1245" s="21"/>
      <c r="I1245" s="21"/>
      <c r="J1245" s="21"/>
      <c r="K1245" s="21"/>
      <c r="L1245" s="21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  <c r="AE1245" s="7"/>
    </row>
    <row r="1246">
      <c r="A1246" s="7"/>
      <c r="B1246" s="21"/>
      <c r="C1246" s="21"/>
      <c r="D1246" s="21"/>
      <c r="E1246" s="21"/>
      <c r="F1246" s="21"/>
      <c r="G1246" s="21"/>
      <c r="H1246" s="21"/>
      <c r="I1246" s="21"/>
      <c r="J1246" s="21"/>
      <c r="K1246" s="21"/>
      <c r="L1246" s="21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  <c r="AE1246" s="7"/>
    </row>
    <row r="1247">
      <c r="A1247" s="7"/>
      <c r="B1247" s="21"/>
      <c r="C1247" s="21"/>
      <c r="D1247" s="21"/>
      <c r="E1247" s="21"/>
      <c r="F1247" s="21"/>
      <c r="G1247" s="21"/>
      <c r="H1247" s="21"/>
      <c r="I1247" s="21"/>
      <c r="J1247" s="21"/>
      <c r="K1247" s="21"/>
      <c r="L1247" s="21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  <c r="AE1247" s="7"/>
    </row>
    <row r="1248">
      <c r="A1248" s="7"/>
      <c r="B1248" s="21"/>
      <c r="C1248" s="21"/>
      <c r="D1248" s="21"/>
      <c r="E1248" s="21"/>
      <c r="F1248" s="21"/>
      <c r="G1248" s="21"/>
      <c r="H1248" s="21"/>
      <c r="I1248" s="21"/>
      <c r="J1248" s="21"/>
      <c r="K1248" s="21"/>
      <c r="L1248" s="21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  <c r="AE1248" s="7"/>
    </row>
    <row r="1249">
      <c r="A1249" s="7"/>
      <c r="B1249" s="21"/>
      <c r="C1249" s="21"/>
      <c r="D1249" s="21"/>
      <c r="E1249" s="21"/>
      <c r="F1249" s="21"/>
      <c r="G1249" s="21"/>
      <c r="H1249" s="21"/>
      <c r="I1249" s="21"/>
      <c r="J1249" s="21"/>
      <c r="K1249" s="21"/>
      <c r="L1249" s="21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  <c r="AE1249" s="7"/>
    </row>
    <row r="1250">
      <c r="A1250" s="7"/>
      <c r="B1250" s="21"/>
      <c r="C1250" s="21"/>
      <c r="D1250" s="21"/>
      <c r="E1250" s="21"/>
      <c r="F1250" s="21"/>
      <c r="G1250" s="21"/>
      <c r="H1250" s="21"/>
      <c r="I1250" s="21"/>
      <c r="J1250" s="21"/>
      <c r="K1250" s="21"/>
      <c r="L1250" s="21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</row>
    <row r="1251">
      <c r="A1251" s="7"/>
      <c r="B1251" s="21"/>
      <c r="C1251" s="21"/>
      <c r="D1251" s="21"/>
      <c r="E1251" s="21"/>
      <c r="F1251" s="21"/>
      <c r="G1251" s="21"/>
      <c r="H1251" s="21"/>
      <c r="I1251" s="21"/>
      <c r="J1251" s="21"/>
      <c r="K1251" s="21"/>
      <c r="L1251" s="21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  <c r="AE1251" s="7"/>
    </row>
    <row r="1252">
      <c r="A1252" s="7"/>
      <c r="B1252" s="21"/>
      <c r="C1252" s="21"/>
      <c r="D1252" s="21"/>
      <c r="E1252" s="21"/>
      <c r="F1252" s="21"/>
      <c r="G1252" s="21"/>
      <c r="H1252" s="21"/>
      <c r="I1252" s="21"/>
      <c r="J1252" s="21"/>
      <c r="K1252" s="21"/>
      <c r="L1252" s="21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  <c r="AE1252" s="7"/>
    </row>
    <row r="1253">
      <c r="A1253" s="7"/>
      <c r="B1253" s="21"/>
      <c r="C1253" s="21"/>
      <c r="D1253" s="21"/>
      <c r="E1253" s="21"/>
      <c r="F1253" s="21"/>
      <c r="G1253" s="21"/>
      <c r="H1253" s="21"/>
      <c r="I1253" s="21"/>
      <c r="J1253" s="21"/>
      <c r="K1253" s="21"/>
      <c r="L1253" s="21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7"/>
      <c r="AE1253" s="7"/>
    </row>
    <row r="1254">
      <c r="A1254" s="7"/>
      <c r="B1254" s="21"/>
      <c r="C1254" s="21"/>
      <c r="D1254" s="21"/>
      <c r="E1254" s="21"/>
      <c r="F1254" s="21"/>
      <c r="G1254" s="21"/>
      <c r="H1254" s="21"/>
      <c r="I1254" s="21"/>
      <c r="J1254" s="21"/>
      <c r="K1254" s="21"/>
      <c r="L1254" s="21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7"/>
      <c r="AE1254" s="7"/>
    </row>
    <row r="1255">
      <c r="A1255" s="7"/>
      <c r="B1255" s="21"/>
      <c r="C1255" s="21"/>
      <c r="D1255" s="21"/>
      <c r="E1255" s="21"/>
      <c r="F1255" s="21"/>
      <c r="G1255" s="21"/>
      <c r="H1255" s="21"/>
      <c r="I1255" s="21"/>
      <c r="J1255" s="21"/>
      <c r="K1255" s="21"/>
      <c r="L1255" s="21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7"/>
      <c r="AE1255" s="7"/>
    </row>
    <row r="1256">
      <c r="A1256" s="7"/>
      <c r="B1256" s="21"/>
      <c r="C1256" s="21"/>
      <c r="D1256" s="21"/>
      <c r="E1256" s="21"/>
      <c r="F1256" s="21"/>
      <c r="G1256" s="21"/>
      <c r="H1256" s="21"/>
      <c r="I1256" s="21"/>
      <c r="J1256" s="21"/>
      <c r="K1256" s="21"/>
      <c r="L1256" s="21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7"/>
      <c r="AE1256" s="7"/>
    </row>
    <row r="1257">
      <c r="A1257" s="7"/>
      <c r="B1257" s="21"/>
      <c r="C1257" s="21"/>
      <c r="D1257" s="21"/>
      <c r="E1257" s="21"/>
      <c r="F1257" s="21"/>
      <c r="G1257" s="21"/>
      <c r="H1257" s="21"/>
      <c r="I1257" s="21"/>
      <c r="J1257" s="21"/>
      <c r="K1257" s="21"/>
      <c r="L1257" s="21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  <c r="AC1257" s="7"/>
      <c r="AD1257" s="7"/>
      <c r="AE1257" s="7"/>
    </row>
    <row r="1258">
      <c r="A1258" s="7"/>
      <c r="B1258" s="21"/>
      <c r="C1258" s="21"/>
      <c r="D1258" s="21"/>
      <c r="E1258" s="21"/>
      <c r="F1258" s="21"/>
      <c r="G1258" s="21"/>
      <c r="H1258" s="21"/>
      <c r="I1258" s="21"/>
      <c r="J1258" s="21"/>
      <c r="K1258" s="21"/>
      <c r="L1258" s="21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  <c r="AC1258" s="7"/>
      <c r="AD1258" s="7"/>
      <c r="AE1258" s="7"/>
    </row>
    <row r="1259">
      <c r="A1259" s="7"/>
      <c r="B1259" s="21"/>
      <c r="C1259" s="21"/>
      <c r="D1259" s="21"/>
      <c r="E1259" s="21"/>
      <c r="F1259" s="21"/>
      <c r="G1259" s="21"/>
      <c r="H1259" s="21"/>
      <c r="I1259" s="21"/>
      <c r="J1259" s="21"/>
      <c r="K1259" s="21"/>
      <c r="L1259" s="21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  <c r="AC1259" s="7"/>
      <c r="AD1259" s="7"/>
      <c r="AE1259" s="7"/>
    </row>
    <row r="1260">
      <c r="A1260" s="7"/>
      <c r="B1260" s="21"/>
      <c r="C1260" s="21"/>
      <c r="D1260" s="21"/>
      <c r="E1260" s="21"/>
      <c r="F1260" s="21"/>
      <c r="G1260" s="21"/>
      <c r="H1260" s="21"/>
      <c r="I1260" s="21"/>
      <c r="J1260" s="21"/>
      <c r="K1260" s="21"/>
      <c r="L1260" s="21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  <c r="AC1260" s="7"/>
      <c r="AD1260" s="7"/>
      <c r="AE1260" s="7"/>
    </row>
    <row r="1261">
      <c r="A1261" s="7"/>
      <c r="B1261" s="21"/>
      <c r="C1261" s="21"/>
      <c r="D1261" s="21"/>
      <c r="E1261" s="21"/>
      <c r="F1261" s="21"/>
      <c r="G1261" s="21"/>
      <c r="H1261" s="21"/>
      <c r="I1261" s="21"/>
      <c r="J1261" s="21"/>
      <c r="K1261" s="21"/>
      <c r="L1261" s="21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7"/>
      <c r="AE1261" s="7"/>
    </row>
    <row r="1262">
      <c r="A1262" s="7"/>
      <c r="B1262" s="21"/>
      <c r="C1262" s="21"/>
      <c r="D1262" s="21"/>
      <c r="E1262" s="21"/>
      <c r="F1262" s="21"/>
      <c r="G1262" s="21"/>
      <c r="H1262" s="21"/>
      <c r="I1262" s="21"/>
      <c r="J1262" s="21"/>
      <c r="K1262" s="21"/>
      <c r="L1262" s="21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  <c r="AC1262" s="7"/>
      <c r="AD1262" s="7"/>
      <c r="AE1262" s="7"/>
    </row>
    <row r="1263">
      <c r="A1263" s="7"/>
      <c r="B1263" s="21"/>
      <c r="C1263" s="21"/>
      <c r="D1263" s="21"/>
      <c r="E1263" s="21"/>
      <c r="F1263" s="21"/>
      <c r="G1263" s="21"/>
      <c r="H1263" s="21"/>
      <c r="I1263" s="21"/>
      <c r="J1263" s="21"/>
      <c r="K1263" s="21"/>
      <c r="L1263" s="21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  <c r="AB1263" s="7"/>
      <c r="AC1263" s="7"/>
      <c r="AD1263" s="7"/>
      <c r="AE1263" s="7"/>
    </row>
    <row r="1264">
      <c r="A1264" s="7"/>
      <c r="B1264" s="21"/>
      <c r="C1264" s="21"/>
      <c r="D1264" s="21"/>
      <c r="E1264" s="21"/>
      <c r="F1264" s="21"/>
      <c r="G1264" s="21"/>
      <c r="H1264" s="21"/>
      <c r="I1264" s="21"/>
      <c r="J1264" s="21"/>
      <c r="K1264" s="21"/>
      <c r="L1264" s="21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  <c r="AC1264" s="7"/>
      <c r="AD1264" s="7"/>
      <c r="AE1264" s="7"/>
    </row>
    <row r="1265">
      <c r="A1265" s="7"/>
      <c r="B1265" s="21"/>
      <c r="C1265" s="21"/>
      <c r="D1265" s="21"/>
      <c r="E1265" s="21"/>
      <c r="F1265" s="21"/>
      <c r="G1265" s="21"/>
      <c r="H1265" s="21"/>
      <c r="I1265" s="21"/>
      <c r="J1265" s="21"/>
      <c r="K1265" s="21"/>
      <c r="L1265" s="21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7"/>
      <c r="AE1265" s="7"/>
    </row>
    <row r="1266">
      <c r="A1266" s="7"/>
      <c r="B1266" s="21"/>
      <c r="C1266" s="21"/>
      <c r="D1266" s="21"/>
      <c r="E1266" s="21"/>
      <c r="F1266" s="21"/>
      <c r="G1266" s="21"/>
      <c r="H1266" s="21"/>
      <c r="I1266" s="21"/>
      <c r="J1266" s="21"/>
      <c r="K1266" s="21"/>
      <c r="L1266" s="21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  <c r="AC1266" s="7"/>
      <c r="AD1266" s="7"/>
      <c r="AE1266" s="7"/>
    </row>
    <row r="1267">
      <c r="A1267" s="7"/>
      <c r="B1267" s="21"/>
      <c r="C1267" s="21"/>
      <c r="D1267" s="21"/>
      <c r="E1267" s="21"/>
      <c r="F1267" s="21"/>
      <c r="G1267" s="21"/>
      <c r="H1267" s="21"/>
      <c r="I1267" s="21"/>
      <c r="J1267" s="21"/>
      <c r="K1267" s="21"/>
      <c r="L1267" s="21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  <c r="AC1267" s="7"/>
      <c r="AD1267" s="7"/>
      <c r="AE1267" s="7"/>
    </row>
    <row r="1268">
      <c r="A1268" s="7"/>
      <c r="B1268" s="21"/>
      <c r="C1268" s="21"/>
      <c r="D1268" s="21"/>
      <c r="E1268" s="21"/>
      <c r="F1268" s="21"/>
      <c r="G1268" s="21"/>
      <c r="H1268" s="21"/>
      <c r="I1268" s="21"/>
      <c r="J1268" s="21"/>
      <c r="K1268" s="21"/>
      <c r="L1268" s="21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  <c r="AC1268" s="7"/>
      <c r="AD1268" s="7"/>
      <c r="AE1268" s="7"/>
    </row>
    <row r="1269">
      <c r="A1269" s="7"/>
      <c r="B1269" s="21"/>
      <c r="C1269" s="21"/>
      <c r="D1269" s="21"/>
      <c r="E1269" s="21"/>
      <c r="F1269" s="21"/>
      <c r="G1269" s="21"/>
      <c r="H1269" s="21"/>
      <c r="I1269" s="21"/>
      <c r="J1269" s="21"/>
      <c r="K1269" s="21"/>
      <c r="L1269" s="21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  <c r="AE1269" s="7"/>
    </row>
    <row r="1270">
      <c r="A1270" s="7"/>
      <c r="B1270" s="21"/>
      <c r="C1270" s="21"/>
      <c r="D1270" s="21"/>
      <c r="E1270" s="21"/>
      <c r="F1270" s="21"/>
      <c r="G1270" s="21"/>
      <c r="H1270" s="21"/>
      <c r="I1270" s="21"/>
      <c r="J1270" s="21"/>
      <c r="K1270" s="21"/>
      <c r="L1270" s="21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  <c r="AC1270" s="7"/>
      <c r="AD1270" s="7"/>
      <c r="AE1270" s="7"/>
    </row>
    <row r="1271">
      <c r="A1271" s="7"/>
      <c r="B1271" s="21"/>
      <c r="C1271" s="21"/>
      <c r="D1271" s="21"/>
      <c r="E1271" s="21"/>
      <c r="F1271" s="21"/>
      <c r="G1271" s="21"/>
      <c r="H1271" s="21"/>
      <c r="I1271" s="21"/>
      <c r="J1271" s="21"/>
      <c r="K1271" s="21"/>
      <c r="L1271" s="21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  <c r="AC1271" s="7"/>
      <c r="AD1271" s="7"/>
      <c r="AE1271" s="7"/>
    </row>
    <row r="1272">
      <c r="A1272" s="7"/>
      <c r="B1272" s="21"/>
      <c r="C1272" s="21"/>
      <c r="D1272" s="21"/>
      <c r="E1272" s="21"/>
      <c r="F1272" s="21"/>
      <c r="G1272" s="21"/>
      <c r="H1272" s="21"/>
      <c r="I1272" s="21"/>
      <c r="J1272" s="21"/>
      <c r="K1272" s="21"/>
      <c r="L1272" s="21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  <c r="AC1272" s="7"/>
      <c r="AD1272" s="7"/>
      <c r="AE1272" s="7"/>
    </row>
    <row r="1273">
      <c r="A1273" s="7"/>
      <c r="B1273" s="21"/>
      <c r="C1273" s="21"/>
      <c r="D1273" s="21"/>
      <c r="E1273" s="21"/>
      <c r="F1273" s="21"/>
      <c r="G1273" s="21"/>
      <c r="H1273" s="21"/>
      <c r="I1273" s="21"/>
      <c r="J1273" s="21"/>
      <c r="K1273" s="21"/>
      <c r="L1273" s="21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  <c r="AC1273" s="7"/>
      <c r="AD1273" s="7"/>
      <c r="AE1273" s="7"/>
    </row>
    <row r="1274">
      <c r="A1274" s="7"/>
      <c r="B1274" s="21"/>
      <c r="C1274" s="21"/>
      <c r="D1274" s="21"/>
      <c r="E1274" s="21"/>
      <c r="F1274" s="21"/>
      <c r="G1274" s="21"/>
      <c r="H1274" s="21"/>
      <c r="I1274" s="21"/>
      <c r="J1274" s="21"/>
      <c r="K1274" s="21"/>
      <c r="L1274" s="21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  <c r="AC1274" s="7"/>
      <c r="AD1274" s="7"/>
      <c r="AE1274" s="7"/>
    </row>
    <row r="1275">
      <c r="A1275" s="7"/>
      <c r="B1275" s="21"/>
      <c r="C1275" s="21"/>
      <c r="D1275" s="21"/>
      <c r="E1275" s="21"/>
      <c r="F1275" s="21"/>
      <c r="G1275" s="21"/>
      <c r="H1275" s="21"/>
      <c r="I1275" s="21"/>
      <c r="J1275" s="21"/>
      <c r="K1275" s="21"/>
      <c r="L1275" s="21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  <c r="AC1275" s="7"/>
      <c r="AD1275" s="7"/>
      <c r="AE1275" s="7"/>
    </row>
    <row r="1276">
      <c r="A1276" s="7"/>
      <c r="B1276" s="21"/>
      <c r="C1276" s="21"/>
      <c r="D1276" s="21"/>
      <c r="E1276" s="21"/>
      <c r="F1276" s="21"/>
      <c r="G1276" s="21"/>
      <c r="H1276" s="21"/>
      <c r="I1276" s="21"/>
      <c r="J1276" s="21"/>
      <c r="K1276" s="21"/>
      <c r="L1276" s="21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  <c r="AC1276" s="7"/>
      <c r="AD1276" s="7"/>
      <c r="AE1276" s="7"/>
    </row>
    <row r="1277">
      <c r="A1277" s="7"/>
      <c r="B1277" s="21"/>
      <c r="C1277" s="21"/>
      <c r="D1277" s="21"/>
      <c r="E1277" s="21"/>
      <c r="F1277" s="21"/>
      <c r="G1277" s="21"/>
      <c r="H1277" s="21"/>
      <c r="I1277" s="21"/>
      <c r="J1277" s="21"/>
      <c r="K1277" s="21"/>
      <c r="L1277" s="21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7"/>
      <c r="AE1277" s="7"/>
    </row>
    <row r="1278">
      <c r="A1278" s="7"/>
      <c r="B1278" s="21"/>
      <c r="C1278" s="21"/>
      <c r="D1278" s="21"/>
      <c r="E1278" s="21"/>
      <c r="F1278" s="21"/>
      <c r="G1278" s="21"/>
      <c r="H1278" s="21"/>
      <c r="I1278" s="21"/>
      <c r="J1278" s="21"/>
      <c r="K1278" s="21"/>
      <c r="L1278" s="21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7"/>
      <c r="AE1278" s="7"/>
    </row>
    <row r="1279">
      <c r="A1279" s="7"/>
      <c r="B1279" s="21"/>
      <c r="C1279" s="21"/>
      <c r="D1279" s="21"/>
      <c r="E1279" s="21"/>
      <c r="F1279" s="21"/>
      <c r="G1279" s="21"/>
      <c r="H1279" s="21"/>
      <c r="I1279" s="21"/>
      <c r="J1279" s="21"/>
      <c r="K1279" s="21"/>
      <c r="L1279" s="21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  <c r="AE1279" s="7"/>
    </row>
    <row r="1280">
      <c r="A1280" s="7"/>
      <c r="B1280" s="21"/>
      <c r="C1280" s="21"/>
      <c r="D1280" s="21"/>
      <c r="E1280" s="21"/>
      <c r="F1280" s="21"/>
      <c r="G1280" s="21"/>
      <c r="H1280" s="21"/>
      <c r="I1280" s="21"/>
      <c r="J1280" s="21"/>
      <c r="K1280" s="21"/>
      <c r="L1280" s="21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  <c r="AE1280" s="7"/>
    </row>
    <row r="1281">
      <c r="A1281" s="7"/>
      <c r="B1281" s="21"/>
      <c r="C1281" s="21"/>
      <c r="D1281" s="21"/>
      <c r="E1281" s="21"/>
      <c r="F1281" s="21"/>
      <c r="G1281" s="21"/>
      <c r="H1281" s="21"/>
      <c r="I1281" s="21"/>
      <c r="J1281" s="21"/>
      <c r="K1281" s="21"/>
      <c r="L1281" s="21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  <c r="AE1281" s="7"/>
    </row>
    <row r="1282">
      <c r="A1282" s="7"/>
      <c r="B1282" s="21"/>
      <c r="C1282" s="21"/>
      <c r="D1282" s="21"/>
      <c r="E1282" s="21"/>
      <c r="F1282" s="21"/>
      <c r="G1282" s="21"/>
      <c r="H1282" s="21"/>
      <c r="I1282" s="21"/>
      <c r="J1282" s="21"/>
      <c r="K1282" s="21"/>
      <c r="L1282" s="21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  <c r="AE1282" s="7"/>
    </row>
    <row r="1283">
      <c r="A1283" s="7"/>
      <c r="B1283" s="21"/>
      <c r="C1283" s="21"/>
      <c r="D1283" s="21"/>
      <c r="E1283" s="21"/>
      <c r="F1283" s="21"/>
      <c r="G1283" s="21"/>
      <c r="H1283" s="21"/>
      <c r="I1283" s="21"/>
      <c r="J1283" s="21"/>
      <c r="K1283" s="21"/>
      <c r="L1283" s="21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  <c r="AE1283" s="7"/>
    </row>
    <row r="1284">
      <c r="A1284" s="7"/>
      <c r="B1284" s="21"/>
      <c r="C1284" s="21"/>
      <c r="D1284" s="21"/>
      <c r="E1284" s="21"/>
      <c r="F1284" s="21"/>
      <c r="G1284" s="21"/>
      <c r="H1284" s="21"/>
      <c r="I1284" s="21"/>
      <c r="J1284" s="21"/>
      <c r="K1284" s="21"/>
      <c r="L1284" s="21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  <c r="AE1284" s="7"/>
    </row>
    <row r="1285">
      <c r="A1285" s="7"/>
      <c r="B1285" s="21"/>
      <c r="C1285" s="21"/>
      <c r="D1285" s="21"/>
      <c r="E1285" s="21"/>
      <c r="F1285" s="21"/>
      <c r="G1285" s="21"/>
      <c r="H1285" s="21"/>
      <c r="I1285" s="21"/>
      <c r="J1285" s="21"/>
      <c r="K1285" s="21"/>
      <c r="L1285" s="21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  <c r="AE1285" s="7"/>
    </row>
    <row r="1286">
      <c r="A1286" s="7"/>
      <c r="B1286" s="21"/>
      <c r="C1286" s="21"/>
      <c r="D1286" s="21"/>
      <c r="E1286" s="21"/>
      <c r="F1286" s="21"/>
      <c r="G1286" s="21"/>
      <c r="H1286" s="21"/>
      <c r="I1286" s="21"/>
      <c r="J1286" s="21"/>
      <c r="K1286" s="21"/>
      <c r="L1286" s="21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  <c r="AE1286" s="7"/>
    </row>
    <row r="1287">
      <c r="A1287" s="7"/>
      <c r="B1287" s="21"/>
      <c r="C1287" s="21"/>
      <c r="D1287" s="21"/>
      <c r="E1287" s="21"/>
      <c r="F1287" s="21"/>
      <c r="G1287" s="21"/>
      <c r="H1287" s="21"/>
      <c r="I1287" s="21"/>
      <c r="J1287" s="21"/>
      <c r="K1287" s="21"/>
      <c r="L1287" s="21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  <c r="AC1287" s="7"/>
      <c r="AD1287" s="7"/>
      <c r="AE1287" s="7"/>
    </row>
    <row r="1288">
      <c r="A1288" s="7"/>
      <c r="B1288" s="21"/>
      <c r="C1288" s="21"/>
      <c r="D1288" s="21"/>
      <c r="E1288" s="21"/>
      <c r="F1288" s="21"/>
      <c r="G1288" s="21"/>
      <c r="H1288" s="21"/>
      <c r="I1288" s="21"/>
      <c r="J1288" s="21"/>
      <c r="K1288" s="21"/>
      <c r="L1288" s="21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  <c r="AE1288" s="7"/>
    </row>
    <row r="1289">
      <c r="A1289" s="7"/>
      <c r="B1289" s="21"/>
      <c r="C1289" s="21"/>
      <c r="D1289" s="21"/>
      <c r="E1289" s="21"/>
      <c r="F1289" s="21"/>
      <c r="G1289" s="21"/>
      <c r="H1289" s="21"/>
      <c r="I1289" s="21"/>
      <c r="J1289" s="21"/>
      <c r="K1289" s="21"/>
      <c r="L1289" s="21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7"/>
      <c r="AE1289" s="7"/>
    </row>
    <row r="1290">
      <c r="A1290" s="7"/>
      <c r="B1290" s="21"/>
      <c r="C1290" s="21"/>
      <c r="D1290" s="21"/>
      <c r="E1290" s="21"/>
      <c r="F1290" s="21"/>
      <c r="G1290" s="21"/>
      <c r="H1290" s="21"/>
      <c r="I1290" s="21"/>
      <c r="J1290" s="21"/>
      <c r="K1290" s="21"/>
      <c r="L1290" s="21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  <c r="AE1290" s="7"/>
    </row>
    <row r="1291">
      <c r="A1291" s="7"/>
      <c r="B1291" s="21"/>
      <c r="C1291" s="21"/>
      <c r="D1291" s="21"/>
      <c r="E1291" s="21"/>
      <c r="F1291" s="21"/>
      <c r="G1291" s="21"/>
      <c r="H1291" s="21"/>
      <c r="I1291" s="21"/>
      <c r="J1291" s="21"/>
      <c r="K1291" s="21"/>
      <c r="L1291" s="21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  <c r="AE1291" s="7"/>
    </row>
    <row r="1292">
      <c r="A1292" s="7"/>
      <c r="B1292" s="21"/>
      <c r="C1292" s="21"/>
      <c r="D1292" s="21"/>
      <c r="E1292" s="21"/>
      <c r="F1292" s="21"/>
      <c r="G1292" s="21"/>
      <c r="H1292" s="21"/>
      <c r="I1292" s="21"/>
      <c r="J1292" s="21"/>
      <c r="K1292" s="21"/>
      <c r="L1292" s="21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7"/>
      <c r="AE1292" s="7"/>
    </row>
    <row r="1293">
      <c r="A1293" s="7"/>
      <c r="B1293" s="21"/>
      <c r="C1293" s="21"/>
      <c r="D1293" s="21"/>
      <c r="E1293" s="21"/>
      <c r="F1293" s="21"/>
      <c r="G1293" s="21"/>
      <c r="H1293" s="21"/>
      <c r="I1293" s="21"/>
      <c r="J1293" s="21"/>
      <c r="K1293" s="21"/>
      <c r="L1293" s="21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  <c r="AC1293" s="7"/>
      <c r="AD1293" s="7"/>
      <c r="AE1293" s="7"/>
    </row>
    <row r="1294">
      <c r="A1294" s="7"/>
      <c r="B1294" s="21"/>
      <c r="C1294" s="21"/>
      <c r="D1294" s="21"/>
      <c r="E1294" s="21"/>
      <c r="F1294" s="21"/>
      <c r="G1294" s="21"/>
      <c r="H1294" s="21"/>
      <c r="I1294" s="21"/>
      <c r="J1294" s="21"/>
      <c r="K1294" s="21"/>
      <c r="L1294" s="21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  <c r="AE1294" s="7"/>
    </row>
    <row r="1295">
      <c r="A1295" s="7"/>
      <c r="B1295" s="21"/>
      <c r="C1295" s="21"/>
      <c r="D1295" s="21"/>
      <c r="E1295" s="21"/>
      <c r="F1295" s="21"/>
      <c r="G1295" s="21"/>
      <c r="H1295" s="21"/>
      <c r="I1295" s="21"/>
      <c r="J1295" s="21"/>
      <c r="K1295" s="21"/>
      <c r="L1295" s="21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  <c r="AE1295" s="7"/>
    </row>
    <row r="1296">
      <c r="A1296" s="7"/>
      <c r="B1296" s="21"/>
      <c r="C1296" s="21"/>
      <c r="D1296" s="21"/>
      <c r="E1296" s="21"/>
      <c r="F1296" s="21"/>
      <c r="G1296" s="21"/>
      <c r="H1296" s="21"/>
      <c r="I1296" s="21"/>
      <c r="J1296" s="21"/>
      <c r="K1296" s="21"/>
      <c r="L1296" s="21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  <c r="AE1296" s="7"/>
    </row>
    <row r="1297">
      <c r="A1297" s="7"/>
      <c r="B1297" s="21"/>
      <c r="C1297" s="21"/>
      <c r="D1297" s="21"/>
      <c r="E1297" s="21"/>
      <c r="F1297" s="21"/>
      <c r="G1297" s="21"/>
      <c r="H1297" s="21"/>
      <c r="I1297" s="21"/>
      <c r="J1297" s="21"/>
      <c r="K1297" s="21"/>
      <c r="L1297" s="21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</row>
    <row r="1298">
      <c r="A1298" s="7"/>
      <c r="B1298" s="21"/>
      <c r="C1298" s="21"/>
      <c r="D1298" s="21"/>
      <c r="E1298" s="21"/>
      <c r="F1298" s="21"/>
      <c r="G1298" s="21"/>
      <c r="H1298" s="21"/>
      <c r="I1298" s="21"/>
      <c r="J1298" s="21"/>
      <c r="K1298" s="21"/>
      <c r="L1298" s="21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  <c r="AE1298" s="7"/>
    </row>
    <row r="1299">
      <c r="A1299" s="7"/>
      <c r="B1299" s="21"/>
      <c r="C1299" s="21"/>
      <c r="D1299" s="21"/>
      <c r="E1299" s="21"/>
      <c r="F1299" s="21"/>
      <c r="G1299" s="21"/>
      <c r="H1299" s="21"/>
      <c r="I1299" s="21"/>
      <c r="J1299" s="21"/>
      <c r="K1299" s="21"/>
      <c r="L1299" s="21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  <c r="AE1299" s="7"/>
    </row>
    <row r="1300">
      <c r="A1300" s="7"/>
      <c r="B1300" s="21"/>
      <c r="C1300" s="21"/>
      <c r="D1300" s="21"/>
      <c r="E1300" s="21"/>
      <c r="F1300" s="21"/>
      <c r="G1300" s="21"/>
      <c r="H1300" s="21"/>
      <c r="I1300" s="21"/>
      <c r="J1300" s="21"/>
      <c r="K1300" s="21"/>
      <c r="L1300" s="21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  <c r="AE1300" s="7"/>
    </row>
    <row r="1301">
      <c r="A1301" s="7"/>
      <c r="B1301" s="21"/>
      <c r="C1301" s="21"/>
      <c r="D1301" s="21"/>
      <c r="E1301" s="21"/>
      <c r="F1301" s="21"/>
      <c r="G1301" s="21"/>
      <c r="H1301" s="21"/>
      <c r="I1301" s="21"/>
      <c r="J1301" s="21"/>
      <c r="K1301" s="21"/>
      <c r="L1301" s="21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  <c r="AE1301" s="7"/>
    </row>
    <row r="1302">
      <c r="A1302" s="7"/>
      <c r="B1302" s="21"/>
      <c r="C1302" s="21"/>
      <c r="D1302" s="21"/>
      <c r="E1302" s="21"/>
      <c r="F1302" s="21"/>
      <c r="G1302" s="21"/>
      <c r="H1302" s="21"/>
      <c r="I1302" s="21"/>
      <c r="J1302" s="21"/>
      <c r="K1302" s="21"/>
      <c r="L1302" s="21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  <c r="AE1302" s="7"/>
    </row>
    <row r="1303">
      <c r="A1303" s="7"/>
      <c r="B1303" s="21"/>
      <c r="C1303" s="21"/>
      <c r="D1303" s="21"/>
      <c r="E1303" s="21"/>
      <c r="F1303" s="21"/>
      <c r="G1303" s="21"/>
      <c r="H1303" s="21"/>
      <c r="I1303" s="21"/>
      <c r="J1303" s="21"/>
      <c r="K1303" s="21"/>
      <c r="L1303" s="21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  <c r="AC1303" s="7"/>
      <c r="AD1303" s="7"/>
      <c r="AE1303" s="7"/>
    </row>
    <row r="1304">
      <c r="A1304" s="7"/>
      <c r="B1304" s="21"/>
      <c r="C1304" s="21"/>
      <c r="D1304" s="21"/>
      <c r="E1304" s="21"/>
      <c r="F1304" s="21"/>
      <c r="G1304" s="21"/>
      <c r="H1304" s="21"/>
      <c r="I1304" s="21"/>
      <c r="J1304" s="21"/>
      <c r="K1304" s="21"/>
      <c r="L1304" s="21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  <c r="AC1304" s="7"/>
      <c r="AD1304" s="7"/>
      <c r="AE1304" s="7"/>
    </row>
    <row r="1305">
      <c r="A1305" s="7"/>
      <c r="B1305" s="21"/>
      <c r="C1305" s="21"/>
      <c r="D1305" s="21"/>
      <c r="E1305" s="21"/>
      <c r="F1305" s="21"/>
      <c r="G1305" s="21"/>
      <c r="H1305" s="21"/>
      <c r="I1305" s="21"/>
      <c r="J1305" s="21"/>
      <c r="K1305" s="21"/>
      <c r="L1305" s="21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7"/>
      <c r="AB1305" s="7"/>
      <c r="AC1305" s="7"/>
      <c r="AD1305" s="7"/>
      <c r="AE1305" s="7"/>
    </row>
    <row r="1306">
      <c r="A1306" s="7"/>
      <c r="B1306" s="21"/>
      <c r="C1306" s="21"/>
      <c r="D1306" s="21"/>
      <c r="E1306" s="21"/>
      <c r="F1306" s="21"/>
      <c r="G1306" s="21"/>
      <c r="H1306" s="21"/>
      <c r="I1306" s="21"/>
      <c r="J1306" s="21"/>
      <c r="K1306" s="21"/>
      <c r="L1306" s="21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  <c r="AC1306" s="7"/>
      <c r="AD1306" s="7"/>
      <c r="AE1306" s="7"/>
    </row>
    <row r="1307">
      <c r="A1307" s="7"/>
      <c r="B1307" s="21"/>
      <c r="C1307" s="21"/>
      <c r="D1307" s="21"/>
      <c r="E1307" s="21"/>
      <c r="F1307" s="21"/>
      <c r="G1307" s="21"/>
      <c r="H1307" s="21"/>
      <c r="I1307" s="21"/>
      <c r="J1307" s="21"/>
      <c r="K1307" s="21"/>
      <c r="L1307" s="21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  <c r="AC1307" s="7"/>
      <c r="AD1307" s="7"/>
      <c r="AE1307" s="7"/>
    </row>
    <row r="1308">
      <c r="A1308" s="7"/>
      <c r="B1308" s="21"/>
      <c r="C1308" s="21"/>
      <c r="D1308" s="21"/>
      <c r="E1308" s="21"/>
      <c r="F1308" s="21"/>
      <c r="G1308" s="21"/>
      <c r="H1308" s="21"/>
      <c r="I1308" s="21"/>
      <c r="J1308" s="21"/>
      <c r="K1308" s="21"/>
      <c r="L1308" s="21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  <c r="AC1308" s="7"/>
      <c r="AD1308" s="7"/>
      <c r="AE1308" s="7"/>
    </row>
    <row r="1309">
      <c r="A1309" s="7"/>
      <c r="B1309" s="21"/>
      <c r="C1309" s="21"/>
      <c r="D1309" s="21"/>
      <c r="E1309" s="21"/>
      <c r="F1309" s="21"/>
      <c r="G1309" s="21"/>
      <c r="H1309" s="21"/>
      <c r="I1309" s="21"/>
      <c r="J1309" s="21"/>
      <c r="K1309" s="21"/>
      <c r="L1309" s="21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  <c r="AB1309" s="7"/>
      <c r="AC1309" s="7"/>
      <c r="AD1309" s="7"/>
      <c r="AE1309" s="7"/>
    </row>
    <row r="1310">
      <c r="A1310" s="7"/>
      <c r="B1310" s="21"/>
      <c r="C1310" s="21"/>
      <c r="D1310" s="21"/>
      <c r="E1310" s="21"/>
      <c r="F1310" s="21"/>
      <c r="G1310" s="21"/>
      <c r="H1310" s="21"/>
      <c r="I1310" s="21"/>
      <c r="J1310" s="21"/>
      <c r="K1310" s="21"/>
      <c r="L1310" s="21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  <c r="AC1310" s="7"/>
      <c r="AD1310" s="7"/>
      <c r="AE1310" s="7"/>
    </row>
    <row r="1311">
      <c r="A1311" s="7"/>
      <c r="B1311" s="21"/>
      <c r="C1311" s="21"/>
      <c r="D1311" s="21"/>
      <c r="E1311" s="21"/>
      <c r="F1311" s="21"/>
      <c r="G1311" s="21"/>
      <c r="H1311" s="21"/>
      <c r="I1311" s="21"/>
      <c r="J1311" s="21"/>
      <c r="K1311" s="21"/>
      <c r="L1311" s="21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  <c r="AB1311" s="7"/>
      <c r="AC1311" s="7"/>
      <c r="AD1311" s="7"/>
      <c r="AE1311" s="7"/>
    </row>
    <row r="1312">
      <c r="A1312" s="7"/>
      <c r="B1312" s="21"/>
      <c r="C1312" s="21"/>
      <c r="D1312" s="21"/>
      <c r="E1312" s="21"/>
      <c r="F1312" s="21"/>
      <c r="G1312" s="21"/>
      <c r="H1312" s="21"/>
      <c r="I1312" s="21"/>
      <c r="J1312" s="21"/>
      <c r="K1312" s="21"/>
      <c r="L1312" s="21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  <c r="AB1312" s="7"/>
      <c r="AC1312" s="7"/>
      <c r="AD1312" s="7"/>
      <c r="AE1312" s="7"/>
    </row>
    <row r="1313">
      <c r="A1313" s="7"/>
      <c r="B1313" s="21"/>
      <c r="C1313" s="21"/>
      <c r="D1313" s="21"/>
      <c r="E1313" s="21"/>
      <c r="F1313" s="21"/>
      <c r="G1313" s="21"/>
      <c r="H1313" s="21"/>
      <c r="I1313" s="21"/>
      <c r="J1313" s="21"/>
      <c r="K1313" s="21"/>
      <c r="L1313" s="21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/>
      <c r="AD1313" s="7"/>
      <c r="AE1313" s="7"/>
    </row>
    <row r="1314">
      <c r="A1314" s="7"/>
      <c r="B1314" s="21"/>
      <c r="C1314" s="21"/>
      <c r="D1314" s="21"/>
      <c r="E1314" s="21"/>
      <c r="F1314" s="21"/>
      <c r="G1314" s="21"/>
      <c r="H1314" s="21"/>
      <c r="I1314" s="21"/>
      <c r="J1314" s="21"/>
      <c r="K1314" s="21"/>
      <c r="L1314" s="21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7"/>
      <c r="AE1314" s="7"/>
    </row>
    <row r="1315">
      <c r="A1315" s="7"/>
      <c r="B1315" s="21"/>
      <c r="C1315" s="21"/>
      <c r="D1315" s="21"/>
      <c r="E1315" s="21"/>
      <c r="F1315" s="21"/>
      <c r="G1315" s="21"/>
      <c r="H1315" s="21"/>
      <c r="I1315" s="21"/>
      <c r="J1315" s="21"/>
      <c r="K1315" s="21"/>
      <c r="L1315" s="21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  <c r="AC1315" s="7"/>
      <c r="AD1315" s="7"/>
      <c r="AE1315" s="7"/>
    </row>
    <row r="1316">
      <c r="A1316" s="7"/>
      <c r="B1316" s="21"/>
      <c r="C1316" s="21"/>
      <c r="D1316" s="21"/>
      <c r="E1316" s="21"/>
      <c r="F1316" s="21"/>
      <c r="G1316" s="21"/>
      <c r="H1316" s="21"/>
      <c r="I1316" s="21"/>
      <c r="J1316" s="21"/>
      <c r="K1316" s="21"/>
      <c r="L1316" s="21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7"/>
      <c r="AE1316" s="7"/>
    </row>
    <row r="1317">
      <c r="A1317" s="7"/>
      <c r="B1317" s="21"/>
      <c r="C1317" s="21"/>
      <c r="D1317" s="21"/>
      <c r="E1317" s="21"/>
      <c r="F1317" s="21"/>
      <c r="G1317" s="21"/>
      <c r="H1317" s="21"/>
      <c r="I1317" s="21"/>
      <c r="J1317" s="21"/>
      <c r="K1317" s="21"/>
      <c r="L1317" s="21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  <c r="AC1317" s="7"/>
      <c r="AD1317" s="7"/>
      <c r="AE1317" s="7"/>
    </row>
    <row r="1318">
      <c r="A1318" s="7"/>
      <c r="B1318" s="21"/>
      <c r="C1318" s="21"/>
      <c r="D1318" s="21"/>
      <c r="E1318" s="21"/>
      <c r="F1318" s="21"/>
      <c r="G1318" s="21"/>
      <c r="H1318" s="21"/>
      <c r="I1318" s="21"/>
      <c r="J1318" s="21"/>
      <c r="K1318" s="21"/>
      <c r="L1318" s="21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  <c r="AB1318" s="7"/>
      <c r="AC1318" s="7"/>
      <c r="AD1318" s="7"/>
      <c r="AE1318" s="7"/>
    </row>
    <row r="1319">
      <c r="A1319" s="7"/>
      <c r="B1319" s="21"/>
      <c r="C1319" s="21"/>
      <c r="D1319" s="21"/>
      <c r="E1319" s="21"/>
      <c r="F1319" s="21"/>
      <c r="G1319" s="21"/>
      <c r="H1319" s="21"/>
      <c r="I1319" s="21"/>
      <c r="J1319" s="21"/>
      <c r="K1319" s="21"/>
      <c r="L1319" s="21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  <c r="AC1319" s="7"/>
      <c r="AD1319" s="7"/>
      <c r="AE1319" s="7"/>
    </row>
    <row r="1320">
      <c r="A1320" s="7"/>
      <c r="B1320" s="21"/>
      <c r="C1320" s="21"/>
      <c r="D1320" s="21"/>
      <c r="E1320" s="21"/>
      <c r="F1320" s="21"/>
      <c r="G1320" s="21"/>
      <c r="H1320" s="21"/>
      <c r="I1320" s="21"/>
      <c r="J1320" s="21"/>
      <c r="K1320" s="21"/>
      <c r="L1320" s="21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  <c r="AC1320" s="7"/>
      <c r="AD1320" s="7"/>
      <c r="AE1320" s="7"/>
    </row>
    <row r="1321">
      <c r="A1321" s="7"/>
      <c r="B1321" s="21"/>
      <c r="C1321" s="21"/>
      <c r="D1321" s="21"/>
      <c r="E1321" s="21"/>
      <c r="F1321" s="21"/>
      <c r="G1321" s="21"/>
      <c r="H1321" s="21"/>
      <c r="I1321" s="21"/>
      <c r="J1321" s="21"/>
      <c r="K1321" s="21"/>
      <c r="L1321" s="21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  <c r="AC1321" s="7"/>
      <c r="AD1321" s="7"/>
      <c r="AE1321" s="7"/>
    </row>
    <row r="1322">
      <c r="A1322" s="7"/>
      <c r="B1322" s="21"/>
      <c r="C1322" s="21"/>
      <c r="D1322" s="21"/>
      <c r="E1322" s="21"/>
      <c r="F1322" s="21"/>
      <c r="G1322" s="21"/>
      <c r="H1322" s="21"/>
      <c r="I1322" s="21"/>
      <c r="J1322" s="21"/>
      <c r="K1322" s="21"/>
      <c r="L1322" s="21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  <c r="AC1322" s="7"/>
      <c r="AD1322" s="7"/>
      <c r="AE1322" s="7"/>
    </row>
    <row r="1323">
      <c r="A1323" s="7"/>
      <c r="B1323" s="21"/>
      <c r="C1323" s="21"/>
      <c r="D1323" s="21"/>
      <c r="E1323" s="21"/>
      <c r="F1323" s="21"/>
      <c r="G1323" s="21"/>
      <c r="H1323" s="21"/>
      <c r="I1323" s="21"/>
      <c r="J1323" s="21"/>
      <c r="K1323" s="21"/>
      <c r="L1323" s="21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  <c r="AA1323" s="7"/>
      <c r="AB1323" s="7"/>
      <c r="AC1323" s="7"/>
      <c r="AD1323" s="7"/>
      <c r="AE1323" s="7"/>
    </row>
    <row r="1324">
      <c r="A1324" s="7"/>
      <c r="B1324" s="21"/>
      <c r="C1324" s="21"/>
      <c r="D1324" s="21"/>
      <c r="E1324" s="21"/>
      <c r="F1324" s="21"/>
      <c r="G1324" s="21"/>
      <c r="H1324" s="21"/>
      <c r="I1324" s="21"/>
      <c r="J1324" s="21"/>
      <c r="K1324" s="21"/>
      <c r="L1324" s="21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  <c r="AA1324" s="7"/>
      <c r="AB1324" s="7"/>
      <c r="AC1324" s="7"/>
      <c r="AD1324" s="7"/>
      <c r="AE1324" s="7"/>
    </row>
    <row r="1325">
      <c r="A1325" s="7"/>
      <c r="B1325" s="21"/>
      <c r="C1325" s="21"/>
      <c r="D1325" s="21"/>
      <c r="E1325" s="21"/>
      <c r="F1325" s="21"/>
      <c r="G1325" s="21"/>
      <c r="H1325" s="21"/>
      <c r="I1325" s="21"/>
      <c r="J1325" s="21"/>
      <c r="K1325" s="21"/>
      <c r="L1325" s="21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  <c r="AC1325" s="7"/>
      <c r="AD1325" s="7"/>
      <c r="AE1325" s="7"/>
    </row>
    <row r="1326">
      <c r="A1326" s="7"/>
      <c r="B1326" s="21"/>
      <c r="C1326" s="21"/>
      <c r="D1326" s="21"/>
      <c r="E1326" s="21"/>
      <c r="F1326" s="21"/>
      <c r="G1326" s="21"/>
      <c r="H1326" s="21"/>
      <c r="I1326" s="21"/>
      <c r="J1326" s="21"/>
      <c r="K1326" s="21"/>
      <c r="L1326" s="21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  <c r="AC1326" s="7"/>
      <c r="AD1326" s="7"/>
      <c r="AE1326" s="7"/>
    </row>
    <row r="1327">
      <c r="A1327" s="7"/>
      <c r="B1327" s="21"/>
      <c r="C1327" s="21"/>
      <c r="D1327" s="21"/>
      <c r="E1327" s="21"/>
      <c r="F1327" s="21"/>
      <c r="G1327" s="21"/>
      <c r="H1327" s="21"/>
      <c r="I1327" s="21"/>
      <c r="J1327" s="21"/>
      <c r="K1327" s="21"/>
      <c r="L1327" s="21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  <c r="AC1327" s="7"/>
      <c r="AD1327" s="7"/>
      <c r="AE1327" s="7"/>
    </row>
    <row r="1328">
      <c r="A1328" s="7"/>
      <c r="B1328" s="21"/>
      <c r="C1328" s="21"/>
      <c r="D1328" s="21"/>
      <c r="E1328" s="21"/>
      <c r="F1328" s="21"/>
      <c r="G1328" s="21"/>
      <c r="H1328" s="21"/>
      <c r="I1328" s="21"/>
      <c r="J1328" s="21"/>
      <c r="K1328" s="21"/>
      <c r="L1328" s="21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7"/>
      <c r="AE1328" s="7"/>
    </row>
    <row r="1329">
      <c r="A1329" s="7"/>
      <c r="B1329" s="21"/>
      <c r="C1329" s="21"/>
      <c r="D1329" s="21"/>
      <c r="E1329" s="21"/>
      <c r="F1329" s="21"/>
      <c r="G1329" s="21"/>
      <c r="H1329" s="21"/>
      <c r="I1329" s="21"/>
      <c r="J1329" s="21"/>
      <c r="K1329" s="21"/>
      <c r="L1329" s="21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</row>
    <row r="1330">
      <c r="A1330" s="7"/>
      <c r="B1330" s="21"/>
      <c r="C1330" s="21"/>
      <c r="D1330" s="21"/>
      <c r="E1330" s="21"/>
      <c r="F1330" s="21"/>
      <c r="G1330" s="21"/>
      <c r="H1330" s="21"/>
      <c r="I1330" s="21"/>
      <c r="J1330" s="21"/>
      <c r="K1330" s="21"/>
      <c r="L1330" s="21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  <c r="AE1330" s="7"/>
    </row>
    <row r="1331">
      <c r="A1331" s="7"/>
      <c r="B1331" s="21"/>
      <c r="C1331" s="21"/>
      <c r="D1331" s="21"/>
      <c r="E1331" s="21"/>
      <c r="F1331" s="21"/>
      <c r="G1331" s="21"/>
      <c r="H1331" s="21"/>
      <c r="I1331" s="21"/>
      <c r="J1331" s="21"/>
      <c r="K1331" s="21"/>
      <c r="L1331" s="21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  <c r="AE1331" s="7"/>
    </row>
    <row r="1332">
      <c r="A1332" s="7"/>
      <c r="B1332" s="21"/>
      <c r="C1332" s="21"/>
      <c r="D1332" s="21"/>
      <c r="E1332" s="21"/>
      <c r="F1332" s="21"/>
      <c r="G1332" s="21"/>
      <c r="H1332" s="21"/>
      <c r="I1332" s="21"/>
      <c r="J1332" s="21"/>
      <c r="K1332" s="21"/>
      <c r="L1332" s="21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  <c r="AE1332" s="7"/>
    </row>
    <row r="1333">
      <c r="A1333" s="7"/>
      <c r="B1333" s="21"/>
      <c r="C1333" s="21"/>
      <c r="D1333" s="21"/>
      <c r="E1333" s="21"/>
      <c r="F1333" s="21"/>
      <c r="G1333" s="21"/>
      <c r="H1333" s="21"/>
      <c r="I1333" s="21"/>
      <c r="J1333" s="21"/>
      <c r="K1333" s="21"/>
      <c r="L1333" s="21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7"/>
      <c r="AE1333" s="7"/>
    </row>
    <row r="1334">
      <c r="A1334" s="7"/>
      <c r="B1334" s="21"/>
      <c r="C1334" s="21"/>
      <c r="D1334" s="21"/>
      <c r="E1334" s="21"/>
      <c r="F1334" s="21"/>
      <c r="G1334" s="21"/>
      <c r="H1334" s="21"/>
      <c r="I1334" s="21"/>
      <c r="J1334" s="21"/>
      <c r="K1334" s="21"/>
      <c r="L1334" s="21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  <c r="AE1334" s="7"/>
    </row>
    <row r="1335">
      <c r="A1335" s="7"/>
      <c r="B1335" s="21"/>
      <c r="C1335" s="21"/>
      <c r="D1335" s="21"/>
      <c r="E1335" s="21"/>
      <c r="F1335" s="21"/>
      <c r="G1335" s="21"/>
      <c r="H1335" s="21"/>
      <c r="I1335" s="21"/>
      <c r="J1335" s="21"/>
      <c r="K1335" s="21"/>
      <c r="L1335" s="21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  <c r="AE1335" s="7"/>
    </row>
    <row r="1336">
      <c r="A1336" s="7"/>
      <c r="B1336" s="21"/>
      <c r="C1336" s="21"/>
      <c r="D1336" s="21"/>
      <c r="E1336" s="21"/>
      <c r="F1336" s="21"/>
      <c r="G1336" s="21"/>
      <c r="H1336" s="21"/>
      <c r="I1336" s="21"/>
      <c r="J1336" s="21"/>
      <c r="K1336" s="21"/>
      <c r="L1336" s="21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  <c r="AE1336" s="7"/>
    </row>
    <row r="1337">
      <c r="A1337" s="7"/>
      <c r="B1337" s="21"/>
      <c r="C1337" s="21"/>
      <c r="D1337" s="21"/>
      <c r="E1337" s="21"/>
      <c r="F1337" s="21"/>
      <c r="G1337" s="21"/>
      <c r="H1337" s="21"/>
      <c r="I1337" s="21"/>
      <c r="J1337" s="21"/>
      <c r="K1337" s="21"/>
      <c r="L1337" s="21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  <c r="AE1337" s="7"/>
    </row>
    <row r="1338">
      <c r="A1338" s="7"/>
      <c r="B1338" s="21"/>
      <c r="C1338" s="21"/>
      <c r="D1338" s="21"/>
      <c r="E1338" s="21"/>
      <c r="F1338" s="21"/>
      <c r="G1338" s="21"/>
      <c r="H1338" s="21"/>
      <c r="I1338" s="21"/>
      <c r="J1338" s="21"/>
      <c r="K1338" s="21"/>
      <c r="L1338" s="21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  <c r="AE1338" s="7"/>
    </row>
    <row r="1339">
      <c r="A1339" s="7"/>
      <c r="B1339" s="21"/>
      <c r="C1339" s="21"/>
      <c r="D1339" s="21"/>
      <c r="E1339" s="21"/>
      <c r="F1339" s="21"/>
      <c r="G1339" s="21"/>
      <c r="H1339" s="21"/>
      <c r="I1339" s="21"/>
      <c r="J1339" s="21"/>
      <c r="K1339" s="21"/>
      <c r="L1339" s="21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  <c r="AE1339" s="7"/>
    </row>
    <row r="1340">
      <c r="A1340" s="7"/>
      <c r="B1340" s="21"/>
      <c r="C1340" s="21"/>
      <c r="D1340" s="21"/>
      <c r="E1340" s="21"/>
      <c r="F1340" s="21"/>
      <c r="G1340" s="21"/>
      <c r="H1340" s="21"/>
      <c r="I1340" s="21"/>
      <c r="J1340" s="21"/>
      <c r="K1340" s="21"/>
      <c r="L1340" s="21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  <c r="AE1340" s="7"/>
    </row>
    <row r="1341">
      <c r="A1341" s="7"/>
      <c r="B1341" s="21"/>
      <c r="C1341" s="21"/>
      <c r="D1341" s="21"/>
      <c r="E1341" s="21"/>
      <c r="F1341" s="21"/>
      <c r="G1341" s="21"/>
      <c r="H1341" s="21"/>
      <c r="I1341" s="21"/>
      <c r="J1341" s="21"/>
      <c r="K1341" s="21"/>
      <c r="L1341" s="21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  <c r="AE1341" s="7"/>
    </row>
    <row r="1342">
      <c r="A1342" s="7"/>
      <c r="B1342" s="21"/>
      <c r="C1342" s="21"/>
      <c r="D1342" s="21"/>
      <c r="E1342" s="21"/>
      <c r="F1342" s="21"/>
      <c r="G1342" s="21"/>
      <c r="H1342" s="21"/>
      <c r="I1342" s="21"/>
      <c r="J1342" s="21"/>
      <c r="K1342" s="21"/>
      <c r="L1342" s="21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  <c r="AE1342" s="7"/>
    </row>
    <row r="1343">
      <c r="A1343" s="7"/>
      <c r="B1343" s="21"/>
      <c r="C1343" s="21"/>
      <c r="D1343" s="21"/>
      <c r="E1343" s="21"/>
      <c r="F1343" s="21"/>
      <c r="G1343" s="21"/>
      <c r="H1343" s="21"/>
      <c r="I1343" s="21"/>
      <c r="J1343" s="21"/>
      <c r="K1343" s="21"/>
      <c r="L1343" s="21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  <c r="AE1343" s="7"/>
    </row>
    <row r="1344">
      <c r="A1344" s="7"/>
      <c r="B1344" s="21"/>
      <c r="C1344" s="21"/>
      <c r="D1344" s="21"/>
      <c r="E1344" s="21"/>
      <c r="F1344" s="21"/>
      <c r="G1344" s="21"/>
      <c r="H1344" s="21"/>
      <c r="I1344" s="21"/>
      <c r="J1344" s="21"/>
      <c r="K1344" s="21"/>
      <c r="L1344" s="21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  <c r="AE1344" s="7"/>
    </row>
    <row r="1345">
      <c r="A1345" s="7"/>
      <c r="B1345" s="21"/>
      <c r="C1345" s="21"/>
      <c r="D1345" s="21"/>
      <c r="E1345" s="21"/>
      <c r="F1345" s="21"/>
      <c r="G1345" s="21"/>
      <c r="H1345" s="21"/>
      <c r="I1345" s="21"/>
      <c r="J1345" s="21"/>
      <c r="K1345" s="21"/>
      <c r="L1345" s="21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  <c r="AE1345" s="7"/>
    </row>
    <row r="1346">
      <c r="A1346" s="7"/>
      <c r="B1346" s="21"/>
      <c r="C1346" s="21"/>
      <c r="D1346" s="21"/>
      <c r="E1346" s="21"/>
      <c r="F1346" s="21"/>
      <c r="G1346" s="21"/>
      <c r="H1346" s="21"/>
      <c r="I1346" s="21"/>
      <c r="J1346" s="21"/>
      <c r="K1346" s="21"/>
      <c r="L1346" s="21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7"/>
      <c r="AE1346" s="7"/>
    </row>
    <row r="1347">
      <c r="A1347" s="7"/>
      <c r="B1347" s="21"/>
      <c r="C1347" s="21"/>
      <c r="D1347" s="21"/>
      <c r="E1347" s="21"/>
      <c r="F1347" s="21"/>
      <c r="G1347" s="21"/>
      <c r="H1347" s="21"/>
      <c r="I1347" s="21"/>
      <c r="J1347" s="21"/>
      <c r="K1347" s="21"/>
      <c r="L1347" s="21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  <c r="AC1347" s="7"/>
      <c r="AD1347" s="7"/>
      <c r="AE1347" s="7"/>
    </row>
    <row r="1348">
      <c r="A1348" s="7"/>
      <c r="B1348" s="21"/>
      <c r="C1348" s="21"/>
      <c r="D1348" s="21"/>
      <c r="E1348" s="21"/>
      <c r="F1348" s="21"/>
      <c r="G1348" s="21"/>
      <c r="H1348" s="21"/>
      <c r="I1348" s="21"/>
      <c r="J1348" s="21"/>
      <c r="K1348" s="21"/>
      <c r="L1348" s="21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  <c r="AE1348" s="7"/>
    </row>
    <row r="1349">
      <c r="A1349" s="7"/>
      <c r="B1349" s="21"/>
      <c r="C1349" s="21"/>
      <c r="D1349" s="21"/>
      <c r="E1349" s="21"/>
      <c r="F1349" s="21"/>
      <c r="G1349" s="21"/>
      <c r="H1349" s="21"/>
      <c r="I1349" s="21"/>
      <c r="J1349" s="21"/>
      <c r="K1349" s="21"/>
      <c r="L1349" s="21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7"/>
      <c r="AE1349" s="7"/>
    </row>
    <row r="1350">
      <c r="A1350" s="7"/>
      <c r="B1350" s="21"/>
      <c r="C1350" s="21"/>
      <c r="D1350" s="21"/>
      <c r="E1350" s="21"/>
      <c r="F1350" s="21"/>
      <c r="G1350" s="21"/>
      <c r="H1350" s="21"/>
      <c r="I1350" s="21"/>
      <c r="J1350" s="21"/>
      <c r="K1350" s="21"/>
      <c r="L1350" s="21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  <c r="AE1350" s="7"/>
    </row>
    <row r="1351">
      <c r="A1351" s="7"/>
      <c r="B1351" s="21"/>
      <c r="C1351" s="21"/>
      <c r="D1351" s="21"/>
      <c r="E1351" s="21"/>
      <c r="F1351" s="21"/>
      <c r="G1351" s="21"/>
      <c r="H1351" s="21"/>
      <c r="I1351" s="21"/>
      <c r="J1351" s="21"/>
      <c r="K1351" s="21"/>
      <c r="L1351" s="21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  <c r="AE1351" s="7"/>
    </row>
    <row r="1352">
      <c r="A1352" s="7"/>
      <c r="B1352" s="21"/>
      <c r="C1352" s="21"/>
      <c r="D1352" s="21"/>
      <c r="E1352" s="21"/>
      <c r="F1352" s="21"/>
      <c r="G1352" s="21"/>
      <c r="H1352" s="21"/>
      <c r="I1352" s="21"/>
      <c r="J1352" s="21"/>
      <c r="K1352" s="21"/>
      <c r="L1352" s="21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  <c r="AE1352" s="7"/>
    </row>
    <row r="1353">
      <c r="A1353" s="7"/>
      <c r="B1353" s="21"/>
      <c r="C1353" s="21"/>
      <c r="D1353" s="21"/>
      <c r="E1353" s="21"/>
      <c r="F1353" s="21"/>
      <c r="G1353" s="21"/>
      <c r="H1353" s="21"/>
      <c r="I1353" s="21"/>
      <c r="J1353" s="21"/>
      <c r="K1353" s="21"/>
      <c r="L1353" s="21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  <c r="AC1353" s="7"/>
      <c r="AD1353" s="7"/>
      <c r="AE1353" s="7"/>
    </row>
    <row r="1354">
      <c r="A1354" s="7"/>
      <c r="B1354" s="21"/>
      <c r="C1354" s="21"/>
      <c r="D1354" s="21"/>
      <c r="E1354" s="21"/>
      <c r="F1354" s="21"/>
      <c r="G1354" s="21"/>
      <c r="H1354" s="21"/>
      <c r="I1354" s="21"/>
      <c r="J1354" s="21"/>
      <c r="K1354" s="21"/>
      <c r="L1354" s="21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  <c r="AC1354" s="7"/>
      <c r="AD1354" s="7"/>
      <c r="AE1354" s="7"/>
    </row>
    <row r="1355">
      <c r="A1355" s="7"/>
      <c r="B1355" s="21"/>
      <c r="C1355" s="21"/>
      <c r="D1355" s="21"/>
      <c r="E1355" s="21"/>
      <c r="F1355" s="21"/>
      <c r="G1355" s="21"/>
      <c r="H1355" s="21"/>
      <c r="I1355" s="21"/>
      <c r="J1355" s="21"/>
      <c r="K1355" s="21"/>
      <c r="L1355" s="21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  <c r="AC1355" s="7"/>
      <c r="AD1355" s="7"/>
      <c r="AE1355" s="7"/>
    </row>
    <row r="1356">
      <c r="A1356" s="7"/>
      <c r="B1356" s="21"/>
      <c r="C1356" s="21"/>
      <c r="D1356" s="21"/>
      <c r="E1356" s="21"/>
      <c r="F1356" s="21"/>
      <c r="G1356" s="21"/>
      <c r="H1356" s="21"/>
      <c r="I1356" s="21"/>
      <c r="J1356" s="21"/>
      <c r="K1356" s="21"/>
      <c r="L1356" s="21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  <c r="AC1356" s="7"/>
      <c r="AD1356" s="7"/>
      <c r="AE1356" s="7"/>
    </row>
    <row r="1357">
      <c r="A1357" s="7"/>
      <c r="B1357" s="21"/>
      <c r="C1357" s="21"/>
      <c r="D1357" s="21"/>
      <c r="E1357" s="21"/>
      <c r="F1357" s="21"/>
      <c r="G1357" s="21"/>
      <c r="H1357" s="21"/>
      <c r="I1357" s="21"/>
      <c r="J1357" s="21"/>
      <c r="K1357" s="21"/>
      <c r="L1357" s="21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  <c r="AC1357" s="7"/>
      <c r="AD1357" s="7"/>
      <c r="AE1357" s="7"/>
    </row>
    <row r="1358">
      <c r="A1358" s="7"/>
      <c r="B1358" s="21"/>
      <c r="C1358" s="21"/>
      <c r="D1358" s="21"/>
      <c r="E1358" s="21"/>
      <c r="F1358" s="21"/>
      <c r="G1358" s="21"/>
      <c r="H1358" s="21"/>
      <c r="I1358" s="21"/>
      <c r="J1358" s="21"/>
      <c r="K1358" s="21"/>
      <c r="L1358" s="21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  <c r="AC1358" s="7"/>
      <c r="AD1358" s="7"/>
      <c r="AE1358" s="7"/>
    </row>
    <row r="1359">
      <c r="A1359" s="7"/>
      <c r="B1359" s="21"/>
      <c r="C1359" s="21"/>
      <c r="D1359" s="21"/>
      <c r="E1359" s="21"/>
      <c r="F1359" s="21"/>
      <c r="G1359" s="21"/>
      <c r="H1359" s="21"/>
      <c r="I1359" s="21"/>
      <c r="J1359" s="21"/>
      <c r="K1359" s="21"/>
      <c r="L1359" s="21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  <c r="AC1359" s="7"/>
      <c r="AD1359" s="7"/>
      <c r="AE1359" s="7"/>
    </row>
    <row r="1360">
      <c r="A1360" s="7"/>
      <c r="B1360" s="21"/>
      <c r="C1360" s="21"/>
      <c r="D1360" s="21"/>
      <c r="E1360" s="21"/>
      <c r="F1360" s="21"/>
      <c r="G1360" s="21"/>
      <c r="H1360" s="21"/>
      <c r="I1360" s="21"/>
      <c r="J1360" s="21"/>
      <c r="K1360" s="21"/>
      <c r="L1360" s="21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  <c r="AA1360" s="7"/>
      <c r="AB1360" s="7"/>
      <c r="AC1360" s="7"/>
      <c r="AD1360" s="7"/>
      <c r="AE1360" s="7"/>
    </row>
    <row r="1361">
      <c r="A1361" s="7"/>
      <c r="B1361" s="21"/>
      <c r="C1361" s="21"/>
      <c r="D1361" s="21"/>
      <c r="E1361" s="21"/>
      <c r="F1361" s="21"/>
      <c r="G1361" s="21"/>
      <c r="H1361" s="21"/>
      <c r="I1361" s="21"/>
      <c r="J1361" s="21"/>
      <c r="K1361" s="21"/>
      <c r="L1361" s="21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  <c r="AC1361" s="7"/>
      <c r="AD1361" s="7"/>
      <c r="AE1361" s="7"/>
    </row>
    <row r="1362">
      <c r="A1362" s="7"/>
      <c r="B1362" s="21"/>
      <c r="C1362" s="21"/>
      <c r="D1362" s="21"/>
      <c r="E1362" s="21"/>
      <c r="F1362" s="21"/>
      <c r="G1362" s="21"/>
      <c r="H1362" s="21"/>
      <c r="I1362" s="21"/>
      <c r="J1362" s="21"/>
      <c r="K1362" s="21"/>
      <c r="L1362" s="21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  <c r="AC1362" s="7"/>
      <c r="AD1362" s="7"/>
      <c r="AE1362" s="7"/>
    </row>
    <row r="1363">
      <c r="A1363" s="7"/>
      <c r="B1363" s="21"/>
      <c r="C1363" s="21"/>
      <c r="D1363" s="21"/>
      <c r="E1363" s="21"/>
      <c r="F1363" s="21"/>
      <c r="G1363" s="21"/>
      <c r="H1363" s="21"/>
      <c r="I1363" s="21"/>
      <c r="J1363" s="21"/>
      <c r="K1363" s="21"/>
      <c r="L1363" s="21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  <c r="AC1363" s="7"/>
      <c r="AD1363" s="7"/>
      <c r="AE1363" s="7"/>
    </row>
    <row r="1364">
      <c r="A1364" s="7"/>
      <c r="B1364" s="21"/>
      <c r="C1364" s="21"/>
      <c r="D1364" s="21"/>
      <c r="E1364" s="21"/>
      <c r="F1364" s="21"/>
      <c r="G1364" s="21"/>
      <c r="H1364" s="21"/>
      <c r="I1364" s="21"/>
      <c r="J1364" s="21"/>
      <c r="K1364" s="21"/>
      <c r="L1364" s="21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  <c r="AC1364" s="7"/>
      <c r="AD1364" s="7"/>
      <c r="AE1364" s="7"/>
    </row>
    <row r="1365">
      <c r="A1365" s="7"/>
      <c r="B1365" s="21"/>
      <c r="C1365" s="21"/>
      <c r="D1365" s="21"/>
      <c r="E1365" s="21"/>
      <c r="F1365" s="21"/>
      <c r="G1365" s="21"/>
      <c r="H1365" s="21"/>
      <c r="I1365" s="21"/>
      <c r="J1365" s="21"/>
      <c r="K1365" s="21"/>
      <c r="L1365" s="21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7"/>
      <c r="AB1365" s="7"/>
      <c r="AC1365" s="7"/>
      <c r="AD1365" s="7"/>
      <c r="AE1365" s="7"/>
    </row>
    <row r="1366">
      <c r="A1366" s="7"/>
      <c r="B1366" s="21"/>
      <c r="C1366" s="21"/>
      <c r="D1366" s="21"/>
      <c r="E1366" s="21"/>
      <c r="F1366" s="21"/>
      <c r="G1366" s="21"/>
      <c r="H1366" s="21"/>
      <c r="I1366" s="21"/>
      <c r="J1366" s="21"/>
      <c r="K1366" s="21"/>
      <c r="L1366" s="21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  <c r="AA1366" s="7"/>
      <c r="AB1366" s="7"/>
      <c r="AC1366" s="7"/>
      <c r="AD1366" s="7"/>
      <c r="AE1366" s="7"/>
    </row>
    <row r="1367">
      <c r="A1367" s="7"/>
      <c r="B1367" s="21"/>
      <c r="C1367" s="21"/>
      <c r="D1367" s="21"/>
      <c r="E1367" s="21"/>
      <c r="F1367" s="21"/>
      <c r="G1367" s="21"/>
      <c r="H1367" s="21"/>
      <c r="I1367" s="21"/>
      <c r="J1367" s="21"/>
      <c r="K1367" s="21"/>
      <c r="L1367" s="21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  <c r="AC1367" s="7"/>
      <c r="AD1367" s="7"/>
      <c r="AE1367" s="7"/>
    </row>
    <row r="1368">
      <c r="A1368" s="7"/>
      <c r="B1368" s="21"/>
      <c r="C1368" s="21"/>
      <c r="D1368" s="21"/>
      <c r="E1368" s="21"/>
      <c r="F1368" s="21"/>
      <c r="G1368" s="21"/>
      <c r="H1368" s="21"/>
      <c r="I1368" s="21"/>
      <c r="J1368" s="21"/>
      <c r="K1368" s="21"/>
      <c r="L1368" s="21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7"/>
      <c r="AE1368" s="7"/>
    </row>
    <row r="1369">
      <c r="A1369" s="7"/>
      <c r="B1369" s="21"/>
      <c r="C1369" s="21"/>
      <c r="D1369" s="21"/>
      <c r="E1369" s="21"/>
      <c r="F1369" s="21"/>
      <c r="G1369" s="21"/>
      <c r="H1369" s="21"/>
      <c r="I1369" s="21"/>
      <c r="J1369" s="21"/>
      <c r="K1369" s="21"/>
      <c r="L1369" s="21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  <c r="AC1369" s="7"/>
      <c r="AD1369" s="7"/>
      <c r="AE1369" s="7"/>
    </row>
    <row r="1370">
      <c r="A1370" s="7"/>
      <c r="B1370" s="21"/>
      <c r="C1370" s="21"/>
      <c r="D1370" s="21"/>
      <c r="E1370" s="21"/>
      <c r="F1370" s="21"/>
      <c r="G1370" s="21"/>
      <c r="H1370" s="21"/>
      <c r="I1370" s="21"/>
      <c r="J1370" s="21"/>
      <c r="K1370" s="21"/>
      <c r="L1370" s="21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  <c r="AC1370" s="7"/>
      <c r="AD1370" s="7"/>
      <c r="AE1370" s="7"/>
    </row>
    <row r="1371">
      <c r="A1371" s="7"/>
      <c r="B1371" s="21"/>
      <c r="C1371" s="21"/>
      <c r="D1371" s="21"/>
      <c r="E1371" s="21"/>
      <c r="F1371" s="21"/>
      <c r="G1371" s="21"/>
      <c r="H1371" s="21"/>
      <c r="I1371" s="21"/>
      <c r="J1371" s="21"/>
      <c r="K1371" s="21"/>
      <c r="L1371" s="21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  <c r="AC1371" s="7"/>
      <c r="AD1371" s="7"/>
      <c r="AE1371" s="7"/>
    </row>
    <row r="1372">
      <c r="A1372" s="7"/>
      <c r="B1372" s="21"/>
      <c r="C1372" s="21"/>
      <c r="D1372" s="21"/>
      <c r="E1372" s="21"/>
      <c r="F1372" s="21"/>
      <c r="G1372" s="21"/>
      <c r="H1372" s="21"/>
      <c r="I1372" s="21"/>
      <c r="J1372" s="21"/>
      <c r="K1372" s="21"/>
      <c r="L1372" s="21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  <c r="AC1372" s="7"/>
      <c r="AD1372" s="7"/>
      <c r="AE1372" s="7"/>
    </row>
    <row r="1373">
      <c r="A1373" s="7"/>
      <c r="B1373" s="21"/>
      <c r="C1373" s="21"/>
      <c r="D1373" s="21"/>
      <c r="E1373" s="21"/>
      <c r="F1373" s="21"/>
      <c r="G1373" s="21"/>
      <c r="H1373" s="21"/>
      <c r="I1373" s="21"/>
      <c r="J1373" s="21"/>
      <c r="K1373" s="21"/>
      <c r="L1373" s="21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7"/>
      <c r="AE1373" s="7"/>
    </row>
    <row r="1374">
      <c r="A1374" s="7"/>
      <c r="B1374" s="21"/>
      <c r="C1374" s="21"/>
      <c r="D1374" s="21"/>
      <c r="E1374" s="21"/>
      <c r="F1374" s="21"/>
      <c r="G1374" s="21"/>
      <c r="H1374" s="21"/>
      <c r="I1374" s="21"/>
      <c r="J1374" s="21"/>
      <c r="K1374" s="21"/>
      <c r="L1374" s="21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  <c r="AC1374" s="7"/>
      <c r="AD1374" s="7"/>
      <c r="AE1374" s="7"/>
    </row>
    <row r="1375">
      <c r="A1375" s="7"/>
      <c r="B1375" s="21"/>
      <c r="C1375" s="21"/>
      <c r="D1375" s="21"/>
      <c r="E1375" s="21"/>
      <c r="F1375" s="21"/>
      <c r="G1375" s="21"/>
      <c r="H1375" s="21"/>
      <c r="I1375" s="21"/>
      <c r="J1375" s="21"/>
      <c r="K1375" s="21"/>
      <c r="L1375" s="21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  <c r="AC1375" s="7"/>
      <c r="AD1375" s="7"/>
      <c r="AE1375" s="7"/>
    </row>
    <row r="1376">
      <c r="A1376" s="7"/>
      <c r="B1376" s="21"/>
      <c r="C1376" s="21"/>
      <c r="D1376" s="21"/>
      <c r="E1376" s="21"/>
      <c r="F1376" s="21"/>
      <c r="G1376" s="21"/>
      <c r="H1376" s="21"/>
      <c r="I1376" s="21"/>
      <c r="J1376" s="21"/>
      <c r="K1376" s="21"/>
      <c r="L1376" s="21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  <c r="AC1376" s="7"/>
      <c r="AD1376" s="7"/>
      <c r="AE1376" s="7"/>
    </row>
    <row r="1377">
      <c r="A1377" s="7"/>
      <c r="B1377" s="21"/>
      <c r="C1377" s="21"/>
      <c r="D1377" s="21"/>
      <c r="E1377" s="21"/>
      <c r="F1377" s="21"/>
      <c r="G1377" s="21"/>
      <c r="H1377" s="21"/>
      <c r="I1377" s="21"/>
      <c r="J1377" s="21"/>
      <c r="K1377" s="21"/>
      <c r="L1377" s="21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  <c r="AE1377" s="7"/>
    </row>
    <row r="1378">
      <c r="A1378" s="7"/>
      <c r="B1378" s="21"/>
      <c r="C1378" s="21"/>
      <c r="D1378" s="21"/>
      <c r="E1378" s="21"/>
      <c r="F1378" s="21"/>
      <c r="G1378" s="21"/>
      <c r="H1378" s="21"/>
      <c r="I1378" s="21"/>
      <c r="J1378" s="21"/>
      <c r="K1378" s="21"/>
      <c r="L1378" s="21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  <c r="AA1378" s="7"/>
      <c r="AB1378" s="7"/>
      <c r="AC1378" s="7"/>
      <c r="AD1378" s="7"/>
      <c r="AE1378" s="7"/>
    </row>
    <row r="1379">
      <c r="A1379" s="7"/>
      <c r="B1379" s="21"/>
      <c r="C1379" s="21"/>
      <c r="D1379" s="21"/>
      <c r="E1379" s="21"/>
      <c r="F1379" s="21"/>
      <c r="G1379" s="21"/>
      <c r="H1379" s="21"/>
      <c r="I1379" s="21"/>
      <c r="J1379" s="21"/>
      <c r="K1379" s="21"/>
      <c r="L1379" s="21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  <c r="AE1379" s="7"/>
    </row>
    <row r="1380">
      <c r="A1380" s="7"/>
      <c r="B1380" s="21"/>
      <c r="C1380" s="21"/>
      <c r="D1380" s="21"/>
      <c r="E1380" s="21"/>
      <c r="F1380" s="21"/>
      <c r="G1380" s="21"/>
      <c r="H1380" s="21"/>
      <c r="I1380" s="21"/>
      <c r="J1380" s="21"/>
      <c r="K1380" s="21"/>
      <c r="L1380" s="21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  <c r="AE1380" s="7"/>
    </row>
    <row r="1381">
      <c r="A1381" s="7"/>
      <c r="B1381" s="21"/>
      <c r="C1381" s="21"/>
      <c r="D1381" s="21"/>
      <c r="E1381" s="21"/>
      <c r="F1381" s="21"/>
      <c r="G1381" s="21"/>
      <c r="H1381" s="21"/>
      <c r="I1381" s="21"/>
      <c r="J1381" s="21"/>
      <c r="K1381" s="21"/>
      <c r="L1381" s="21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  <c r="AE1381" s="7"/>
    </row>
    <row r="1382">
      <c r="A1382" s="7"/>
      <c r="B1382" s="21"/>
      <c r="C1382" s="21"/>
      <c r="D1382" s="21"/>
      <c r="E1382" s="21"/>
      <c r="F1382" s="21"/>
      <c r="G1382" s="21"/>
      <c r="H1382" s="21"/>
      <c r="I1382" s="21"/>
      <c r="J1382" s="21"/>
      <c r="K1382" s="21"/>
      <c r="L1382" s="21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  <c r="AE1382" s="7"/>
    </row>
    <row r="1383">
      <c r="A1383" s="7"/>
      <c r="B1383" s="21"/>
      <c r="C1383" s="21"/>
      <c r="D1383" s="21"/>
      <c r="E1383" s="21"/>
      <c r="F1383" s="21"/>
      <c r="G1383" s="21"/>
      <c r="H1383" s="21"/>
      <c r="I1383" s="21"/>
      <c r="J1383" s="21"/>
      <c r="K1383" s="21"/>
      <c r="L1383" s="21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  <c r="AE1383" s="7"/>
    </row>
    <row r="1384">
      <c r="A1384" s="7"/>
      <c r="B1384" s="21"/>
      <c r="C1384" s="21"/>
      <c r="D1384" s="21"/>
      <c r="E1384" s="21"/>
      <c r="F1384" s="21"/>
      <c r="G1384" s="21"/>
      <c r="H1384" s="21"/>
      <c r="I1384" s="21"/>
      <c r="J1384" s="21"/>
      <c r="K1384" s="21"/>
      <c r="L1384" s="21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  <c r="AE1384" s="7"/>
    </row>
    <row r="1385">
      <c r="A1385" s="7"/>
      <c r="B1385" s="21"/>
      <c r="C1385" s="21"/>
      <c r="D1385" s="21"/>
      <c r="E1385" s="21"/>
      <c r="F1385" s="21"/>
      <c r="G1385" s="21"/>
      <c r="H1385" s="21"/>
      <c r="I1385" s="21"/>
      <c r="J1385" s="21"/>
      <c r="K1385" s="21"/>
      <c r="L1385" s="21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7"/>
      <c r="AE1385" s="7"/>
    </row>
    <row r="1386">
      <c r="A1386" s="7"/>
      <c r="B1386" s="21"/>
      <c r="C1386" s="21"/>
      <c r="D1386" s="21"/>
      <c r="E1386" s="21"/>
      <c r="F1386" s="21"/>
      <c r="G1386" s="21"/>
      <c r="H1386" s="21"/>
      <c r="I1386" s="21"/>
      <c r="J1386" s="21"/>
      <c r="K1386" s="21"/>
      <c r="L1386" s="21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  <c r="AE1386" s="7"/>
    </row>
    <row r="1387">
      <c r="A1387" s="7"/>
      <c r="B1387" s="21"/>
      <c r="C1387" s="21"/>
      <c r="D1387" s="21"/>
      <c r="E1387" s="21"/>
      <c r="F1387" s="21"/>
      <c r="G1387" s="21"/>
      <c r="H1387" s="21"/>
      <c r="I1387" s="21"/>
      <c r="J1387" s="21"/>
      <c r="K1387" s="21"/>
      <c r="L1387" s="21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  <c r="AE1387" s="7"/>
    </row>
    <row r="1388">
      <c r="A1388" s="7"/>
      <c r="B1388" s="21"/>
      <c r="C1388" s="21"/>
      <c r="D1388" s="21"/>
      <c r="E1388" s="21"/>
      <c r="F1388" s="21"/>
      <c r="G1388" s="21"/>
      <c r="H1388" s="21"/>
      <c r="I1388" s="21"/>
      <c r="J1388" s="21"/>
      <c r="K1388" s="21"/>
      <c r="L1388" s="21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7"/>
      <c r="AE1388" s="7"/>
    </row>
    <row r="1389">
      <c r="A1389" s="7"/>
      <c r="B1389" s="21"/>
      <c r="C1389" s="21"/>
      <c r="D1389" s="21"/>
      <c r="E1389" s="21"/>
      <c r="F1389" s="21"/>
      <c r="G1389" s="21"/>
      <c r="H1389" s="21"/>
      <c r="I1389" s="21"/>
      <c r="J1389" s="21"/>
      <c r="K1389" s="21"/>
      <c r="L1389" s="21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  <c r="AC1389" s="7"/>
      <c r="AD1389" s="7"/>
      <c r="AE1389" s="7"/>
    </row>
    <row r="1390">
      <c r="A1390" s="7"/>
      <c r="B1390" s="21"/>
      <c r="C1390" s="21"/>
      <c r="D1390" s="21"/>
      <c r="E1390" s="21"/>
      <c r="F1390" s="21"/>
      <c r="G1390" s="21"/>
      <c r="H1390" s="21"/>
      <c r="I1390" s="21"/>
      <c r="J1390" s="21"/>
      <c r="K1390" s="21"/>
      <c r="L1390" s="21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  <c r="AE1390" s="7"/>
    </row>
    <row r="1391">
      <c r="A1391" s="7"/>
      <c r="B1391" s="21"/>
      <c r="C1391" s="21"/>
      <c r="D1391" s="21"/>
      <c r="E1391" s="21"/>
      <c r="F1391" s="21"/>
      <c r="G1391" s="21"/>
      <c r="H1391" s="21"/>
      <c r="I1391" s="21"/>
      <c r="J1391" s="21"/>
      <c r="K1391" s="21"/>
      <c r="L1391" s="21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  <c r="AE1391" s="7"/>
    </row>
    <row r="1392">
      <c r="A1392" s="7"/>
      <c r="B1392" s="21"/>
      <c r="C1392" s="21"/>
      <c r="D1392" s="21"/>
      <c r="E1392" s="21"/>
      <c r="F1392" s="21"/>
      <c r="G1392" s="21"/>
      <c r="H1392" s="21"/>
      <c r="I1392" s="21"/>
      <c r="J1392" s="21"/>
      <c r="K1392" s="21"/>
      <c r="L1392" s="21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  <c r="AE1392" s="7"/>
    </row>
    <row r="1393">
      <c r="A1393" s="7"/>
      <c r="B1393" s="21"/>
      <c r="C1393" s="21"/>
      <c r="D1393" s="21"/>
      <c r="E1393" s="21"/>
      <c r="F1393" s="21"/>
      <c r="G1393" s="21"/>
      <c r="H1393" s="21"/>
      <c r="I1393" s="21"/>
      <c r="J1393" s="21"/>
      <c r="K1393" s="21"/>
      <c r="L1393" s="21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  <c r="AE1393" s="7"/>
    </row>
    <row r="1394">
      <c r="A1394" s="7"/>
      <c r="B1394" s="21"/>
      <c r="C1394" s="21"/>
      <c r="D1394" s="21"/>
      <c r="E1394" s="21"/>
      <c r="F1394" s="21"/>
      <c r="G1394" s="21"/>
      <c r="H1394" s="21"/>
      <c r="I1394" s="21"/>
      <c r="J1394" s="21"/>
      <c r="K1394" s="21"/>
      <c r="L1394" s="21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  <c r="AE1394" s="7"/>
    </row>
    <row r="1395">
      <c r="A1395" s="7"/>
      <c r="B1395" s="21"/>
      <c r="C1395" s="21"/>
      <c r="D1395" s="21"/>
      <c r="E1395" s="21"/>
      <c r="F1395" s="21"/>
      <c r="G1395" s="21"/>
      <c r="H1395" s="21"/>
      <c r="I1395" s="21"/>
      <c r="J1395" s="21"/>
      <c r="K1395" s="21"/>
      <c r="L1395" s="21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  <c r="AE1395" s="7"/>
    </row>
    <row r="1396">
      <c r="A1396" s="7"/>
      <c r="B1396" s="21"/>
      <c r="C1396" s="21"/>
      <c r="D1396" s="21"/>
      <c r="E1396" s="21"/>
      <c r="F1396" s="21"/>
      <c r="G1396" s="21"/>
      <c r="H1396" s="21"/>
      <c r="I1396" s="21"/>
      <c r="J1396" s="21"/>
      <c r="K1396" s="21"/>
      <c r="L1396" s="21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  <c r="AE1396" s="7"/>
    </row>
    <row r="1397">
      <c r="A1397" s="7"/>
      <c r="B1397" s="21"/>
      <c r="C1397" s="21"/>
      <c r="D1397" s="21"/>
      <c r="E1397" s="21"/>
      <c r="F1397" s="21"/>
      <c r="G1397" s="21"/>
      <c r="H1397" s="21"/>
      <c r="I1397" s="21"/>
      <c r="J1397" s="21"/>
      <c r="K1397" s="21"/>
      <c r="L1397" s="21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  <c r="AE1397" s="7"/>
    </row>
    <row r="1398">
      <c r="A1398" s="7"/>
      <c r="B1398" s="21"/>
      <c r="C1398" s="21"/>
      <c r="D1398" s="21"/>
      <c r="E1398" s="21"/>
      <c r="F1398" s="21"/>
      <c r="G1398" s="21"/>
      <c r="H1398" s="21"/>
      <c r="I1398" s="21"/>
      <c r="J1398" s="21"/>
      <c r="K1398" s="21"/>
      <c r="L1398" s="21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  <c r="AE1398" s="7"/>
    </row>
    <row r="1399">
      <c r="A1399" s="7"/>
      <c r="B1399" s="21"/>
      <c r="C1399" s="21"/>
      <c r="D1399" s="21"/>
      <c r="E1399" s="21"/>
      <c r="F1399" s="21"/>
      <c r="G1399" s="21"/>
      <c r="H1399" s="21"/>
      <c r="I1399" s="21"/>
      <c r="J1399" s="21"/>
      <c r="K1399" s="21"/>
      <c r="L1399" s="21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  <c r="AE1399" s="7"/>
    </row>
    <row r="1400">
      <c r="A1400" s="7"/>
      <c r="B1400" s="21"/>
      <c r="C1400" s="21"/>
      <c r="D1400" s="21"/>
      <c r="E1400" s="21"/>
      <c r="F1400" s="21"/>
      <c r="G1400" s="21"/>
      <c r="H1400" s="21"/>
      <c r="I1400" s="21"/>
      <c r="J1400" s="21"/>
      <c r="K1400" s="21"/>
      <c r="L1400" s="21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  <c r="AE1400" s="7"/>
    </row>
    <row r="1401">
      <c r="A1401" s="7"/>
      <c r="B1401" s="21"/>
      <c r="C1401" s="21"/>
      <c r="D1401" s="21"/>
      <c r="E1401" s="21"/>
      <c r="F1401" s="21"/>
      <c r="G1401" s="21"/>
      <c r="H1401" s="21"/>
      <c r="I1401" s="21"/>
      <c r="J1401" s="21"/>
      <c r="K1401" s="21"/>
      <c r="L1401" s="21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  <c r="AE1401" s="7"/>
    </row>
    <row r="1402">
      <c r="A1402" s="7"/>
      <c r="B1402" s="21"/>
      <c r="C1402" s="21"/>
      <c r="D1402" s="21"/>
      <c r="E1402" s="21"/>
      <c r="F1402" s="21"/>
      <c r="G1402" s="21"/>
      <c r="H1402" s="21"/>
      <c r="I1402" s="21"/>
      <c r="J1402" s="21"/>
      <c r="K1402" s="21"/>
      <c r="L1402" s="21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  <c r="AE1402" s="7"/>
    </row>
    <row r="1403">
      <c r="A1403" s="7"/>
      <c r="B1403" s="21"/>
      <c r="C1403" s="21"/>
      <c r="D1403" s="21"/>
      <c r="E1403" s="21"/>
      <c r="F1403" s="21"/>
      <c r="G1403" s="21"/>
      <c r="H1403" s="21"/>
      <c r="I1403" s="21"/>
      <c r="J1403" s="21"/>
      <c r="K1403" s="21"/>
      <c r="L1403" s="21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7"/>
      <c r="AE1403" s="7"/>
    </row>
    <row r="1404">
      <c r="A1404" s="7"/>
      <c r="B1404" s="21"/>
      <c r="C1404" s="21"/>
      <c r="D1404" s="21"/>
      <c r="E1404" s="21"/>
      <c r="F1404" s="21"/>
      <c r="G1404" s="21"/>
      <c r="H1404" s="21"/>
      <c r="I1404" s="21"/>
      <c r="J1404" s="21"/>
      <c r="K1404" s="21"/>
      <c r="L1404" s="21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7"/>
      <c r="AE1404" s="7"/>
    </row>
    <row r="1405">
      <c r="A1405" s="7"/>
      <c r="B1405" s="21"/>
      <c r="C1405" s="21"/>
      <c r="D1405" s="21"/>
      <c r="E1405" s="21"/>
      <c r="F1405" s="21"/>
      <c r="G1405" s="21"/>
      <c r="H1405" s="21"/>
      <c r="I1405" s="21"/>
      <c r="J1405" s="21"/>
      <c r="K1405" s="21"/>
      <c r="L1405" s="21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  <c r="AC1405" s="7"/>
      <c r="AD1405" s="7"/>
      <c r="AE1405" s="7"/>
    </row>
    <row r="1406">
      <c r="A1406" s="7"/>
      <c r="B1406" s="21"/>
      <c r="C1406" s="21"/>
      <c r="D1406" s="21"/>
      <c r="E1406" s="21"/>
      <c r="F1406" s="21"/>
      <c r="G1406" s="21"/>
      <c r="H1406" s="21"/>
      <c r="I1406" s="21"/>
      <c r="J1406" s="21"/>
      <c r="K1406" s="21"/>
      <c r="L1406" s="21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7"/>
      <c r="AE1406" s="7"/>
    </row>
    <row r="1407">
      <c r="A1407" s="7"/>
      <c r="B1407" s="21"/>
      <c r="C1407" s="21"/>
      <c r="D1407" s="21"/>
      <c r="E1407" s="21"/>
      <c r="F1407" s="21"/>
      <c r="G1407" s="21"/>
      <c r="H1407" s="21"/>
      <c r="I1407" s="21"/>
      <c r="J1407" s="21"/>
      <c r="K1407" s="21"/>
      <c r="L1407" s="21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  <c r="AB1407" s="7"/>
      <c r="AC1407" s="7"/>
      <c r="AD1407" s="7"/>
      <c r="AE1407" s="7"/>
    </row>
    <row r="1408">
      <c r="A1408" s="7"/>
      <c r="B1408" s="21"/>
      <c r="C1408" s="21"/>
      <c r="D1408" s="21"/>
      <c r="E1408" s="21"/>
      <c r="F1408" s="21"/>
      <c r="G1408" s="21"/>
      <c r="H1408" s="21"/>
      <c r="I1408" s="21"/>
      <c r="J1408" s="21"/>
      <c r="K1408" s="21"/>
      <c r="L1408" s="21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  <c r="AC1408" s="7"/>
      <c r="AD1408" s="7"/>
      <c r="AE1408" s="7"/>
    </row>
    <row r="1409">
      <c r="A1409" s="7"/>
      <c r="B1409" s="21"/>
      <c r="C1409" s="21"/>
      <c r="D1409" s="21"/>
      <c r="E1409" s="21"/>
      <c r="F1409" s="21"/>
      <c r="G1409" s="21"/>
      <c r="H1409" s="21"/>
      <c r="I1409" s="21"/>
      <c r="J1409" s="21"/>
      <c r="K1409" s="21"/>
      <c r="L1409" s="21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7"/>
      <c r="AE1409" s="7"/>
    </row>
    <row r="1410">
      <c r="A1410" s="7"/>
      <c r="B1410" s="21"/>
      <c r="C1410" s="21"/>
      <c r="D1410" s="21"/>
      <c r="E1410" s="21"/>
      <c r="F1410" s="21"/>
      <c r="G1410" s="21"/>
      <c r="H1410" s="21"/>
      <c r="I1410" s="21"/>
      <c r="J1410" s="21"/>
      <c r="K1410" s="21"/>
      <c r="L1410" s="21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7"/>
      <c r="AE1410" s="7"/>
    </row>
    <row r="1411">
      <c r="A1411" s="7"/>
      <c r="B1411" s="21"/>
      <c r="C1411" s="21"/>
      <c r="D1411" s="21"/>
      <c r="E1411" s="21"/>
      <c r="F1411" s="21"/>
      <c r="G1411" s="21"/>
      <c r="H1411" s="21"/>
      <c r="I1411" s="21"/>
      <c r="J1411" s="21"/>
      <c r="K1411" s="21"/>
      <c r="L1411" s="21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7"/>
      <c r="AE1411" s="7"/>
    </row>
    <row r="1412">
      <c r="A1412" s="7"/>
      <c r="B1412" s="21"/>
      <c r="C1412" s="21"/>
      <c r="D1412" s="21"/>
      <c r="E1412" s="21"/>
      <c r="F1412" s="21"/>
      <c r="G1412" s="21"/>
      <c r="H1412" s="21"/>
      <c r="I1412" s="21"/>
      <c r="J1412" s="21"/>
      <c r="K1412" s="21"/>
      <c r="L1412" s="21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7"/>
      <c r="AE1412" s="7"/>
    </row>
    <row r="1413">
      <c r="A1413" s="7"/>
      <c r="B1413" s="21"/>
      <c r="C1413" s="21"/>
      <c r="D1413" s="21"/>
      <c r="E1413" s="21"/>
      <c r="F1413" s="21"/>
      <c r="G1413" s="21"/>
      <c r="H1413" s="21"/>
      <c r="I1413" s="21"/>
      <c r="J1413" s="21"/>
      <c r="K1413" s="21"/>
      <c r="L1413" s="21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  <c r="AB1413" s="7"/>
      <c r="AC1413" s="7"/>
      <c r="AD1413" s="7"/>
      <c r="AE1413" s="7"/>
    </row>
    <row r="1414">
      <c r="A1414" s="7"/>
      <c r="B1414" s="21"/>
      <c r="C1414" s="21"/>
      <c r="D1414" s="21"/>
      <c r="E1414" s="21"/>
      <c r="F1414" s="21"/>
      <c r="G1414" s="21"/>
      <c r="H1414" s="21"/>
      <c r="I1414" s="21"/>
      <c r="J1414" s="21"/>
      <c r="K1414" s="21"/>
      <c r="L1414" s="21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  <c r="AB1414" s="7"/>
      <c r="AC1414" s="7"/>
      <c r="AD1414" s="7"/>
      <c r="AE1414" s="7"/>
    </row>
    <row r="1415">
      <c r="A1415" s="7"/>
      <c r="B1415" s="21"/>
      <c r="C1415" s="21"/>
      <c r="D1415" s="21"/>
      <c r="E1415" s="21"/>
      <c r="F1415" s="21"/>
      <c r="G1415" s="21"/>
      <c r="H1415" s="21"/>
      <c r="I1415" s="21"/>
      <c r="J1415" s="21"/>
      <c r="K1415" s="21"/>
      <c r="L1415" s="21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  <c r="AC1415" s="7"/>
      <c r="AD1415" s="7"/>
      <c r="AE1415" s="7"/>
    </row>
    <row r="1416">
      <c r="A1416" s="7"/>
      <c r="B1416" s="21"/>
      <c r="C1416" s="21"/>
      <c r="D1416" s="21"/>
      <c r="E1416" s="21"/>
      <c r="F1416" s="21"/>
      <c r="G1416" s="21"/>
      <c r="H1416" s="21"/>
      <c r="I1416" s="21"/>
      <c r="J1416" s="21"/>
      <c r="K1416" s="21"/>
      <c r="L1416" s="21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7"/>
      <c r="AE1416" s="7"/>
    </row>
    <row r="1417">
      <c r="A1417" s="7"/>
      <c r="B1417" s="21"/>
      <c r="C1417" s="21"/>
      <c r="D1417" s="21"/>
      <c r="E1417" s="21"/>
      <c r="F1417" s="21"/>
      <c r="G1417" s="21"/>
      <c r="H1417" s="21"/>
      <c r="I1417" s="21"/>
      <c r="J1417" s="21"/>
      <c r="K1417" s="21"/>
      <c r="L1417" s="21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  <c r="AC1417" s="7"/>
      <c r="AD1417" s="7"/>
      <c r="AE1417" s="7"/>
    </row>
    <row r="1418">
      <c r="A1418" s="7"/>
      <c r="B1418" s="21"/>
      <c r="C1418" s="21"/>
      <c r="D1418" s="21"/>
      <c r="E1418" s="21"/>
      <c r="F1418" s="21"/>
      <c r="G1418" s="21"/>
      <c r="H1418" s="21"/>
      <c r="I1418" s="21"/>
      <c r="J1418" s="21"/>
      <c r="K1418" s="21"/>
      <c r="L1418" s="21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7"/>
      <c r="AE1418" s="7"/>
    </row>
    <row r="1419">
      <c r="A1419" s="7"/>
      <c r="B1419" s="21"/>
      <c r="C1419" s="21"/>
      <c r="D1419" s="21"/>
      <c r="E1419" s="21"/>
      <c r="F1419" s="21"/>
      <c r="G1419" s="21"/>
      <c r="H1419" s="21"/>
      <c r="I1419" s="21"/>
      <c r="J1419" s="21"/>
      <c r="K1419" s="21"/>
      <c r="L1419" s="21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  <c r="AA1419" s="7"/>
      <c r="AB1419" s="7"/>
      <c r="AC1419" s="7"/>
      <c r="AD1419" s="7"/>
      <c r="AE1419" s="7"/>
    </row>
    <row r="1420">
      <c r="A1420" s="7"/>
      <c r="B1420" s="21"/>
      <c r="C1420" s="21"/>
      <c r="D1420" s="21"/>
      <c r="E1420" s="21"/>
      <c r="F1420" s="21"/>
      <c r="G1420" s="21"/>
      <c r="H1420" s="21"/>
      <c r="I1420" s="21"/>
      <c r="J1420" s="21"/>
      <c r="K1420" s="21"/>
      <c r="L1420" s="21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  <c r="AA1420" s="7"/>
      <c r="AB1420" s="7"/>
      <c r="AC1420" s="7"/>
      <c r="AD1420" s="7"/>
      <c r="AE1420" s="7"/>
    </row>
    <row r="1421">
      <c r="A1421" s="7"/>
      <c r="B1421" s="21"/>
      <c r="C1421" s="21"/>
      <c r="D1421" s="21"/>
      <c r="E1421" s="21"/>
      <c r="F1421" s="21"/>
      <c r="G1421" s="21"/>
      <c r="H1421" s="21"/>
      <c r="I1421" s="21"/>
      <c r="J1421" s="21"/>
      <c r="K1421" s="21"/>
      <c r="L1421" s="21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  <c r="AC1421" s="7"/>
      <c r="AD1421" s="7"/>
      <c r="AE1421" s="7"/>
    </row>
    <row r="1422">
      <c r="A1422" s="7"/>
      <c r="B1422" s="21"/>
      <c r="C1422" s="21"/>
      <c r="D1422" s="21"/>
      <c r="E1422" s="21"/>
      <c r="F1422" s="21"/>
      <c r="G1422" s="21"/>
      <c r="H1422" s="21"/>
      <c r="I1422" s="21"/>
      <c r="J1422" s="21"/>
      <c r="K1422" s="21"/>
      <c r="L1422" s="21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  <c r="AC1422" s="7"/>
      <c r="AD1422" s="7"/>
      <c r="AE1422" s="7"/>
    </row>
    <row r="1423">
      <c r="A1423" s="7"/>
      <c r="B1423" s="21"/>
      <c r="C1423" s="21"/>
      <c r="D1423" s="21"/>
      <c r="E1423" s="21"/>
      <c r="F1423" s="21"/>
      <c r="G1423" s="21"/>
      <c r="H1423" s="21"/>
      <c r="I1423" s="21"/>
      <c r="J1423" s="21"/>
      <c r="K1423" s="21"/>
      <c r="L1423" s="21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  <c r="AC1423" s="7"/>
      <c r="AD1423" s="7"/>
      <c r="AE1423" s="7"/>
    </row>
    <row r="1424">
      <c r="A1424" s="7"/>
      <c r="B1424" s="21"/>
      <c r="C1424" s="21"/>
      <c r="D1424" s="21"/>
      <c r="E1424" s="21"/>
      <c r="F1424" s="21"/>
      <c r="G1424" s="21"/>
      <c r="H1424" s="21"/>
      <c r="I1424" s="21"/>
      <c r="J1424" s="21"/>
      <c r="K1424" s="21"/>
      <c r="L1424" s="21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  <c r="AC1424" s="7"/>
      <c r="AD1424" s="7"/>
      <c r="AE1424" s="7"/>
    </row>
    <row r="1425">
      <c r="A1425" s="7"/>
      <c r="B1425" s="21"/>
      <c r="C1425" s="21"/>
      <c r="D1425" s="21"/>
      <c r="E1425" s="21"/>
      <c r="F1425" s="21"/>
      <c r="G1425" s="21"/>
      <c r="H1425" s="21"/>
      <c r="I1425" s="21"/>
      <c r="J1425" s="21"/>
      <c r="K1425" s="21"/>
      <c r="L1425" s="21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  <c r="AE1425" s="7"/>
    </row>
    <row r="1426">
      <c r="A1426" s="7"/>
      <c r="B1426" s="21"/>
      <c r="C1426" s="21"/>
      <c r="D1426" s="21"/>
      <c r="E1426" s="21"/>
      <c r="F1426" s="21"/>
      <c r="G1426" s="21"/>
      <c r="H1426" s="21"/>
      <c r="I1426" s="21"/>
      <c r="J1426" s="21"/>
      <c r="K1426" s="21"/>
      <c r="L1426" s="21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  <c r="AA1426" s="7"/>
      <c r="AB1426" s="7"/>
      <c r="AC1426" s="7"/>
      <c r="AD1426" s="7"/>
      <c r="AE1426" s="7"/>
    </row>
    <row r="1427">
      <c r="A1427" s="7"/>
      <c r="B1427" s="21"/>
      <c r="C1427" s="21"/>
      <c r="D1427" s="21"/>
      <c r="E1427" s="21"/>
      <c r="F1427" s="21"/>
      <c r="G1427" s="21"/>
      <c r="H1427" s="21"/>
      <c r="I1427" s="21"/>
      <c r="J1427" s="21"/>
      <c r="K1427" s="21"/>
      <c r="L1427" s="21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AB1427" s="7"/>
      <c r="AC1427" s="7"/>
      <c r="AD1427" s="7"/>
      <c r="AE1427" s="7"/>
    </row>
    <row r="1428">
      <c r="A1428" s="7"/>
      <c r="B1428" s="21"/>
      <c r="C1428" s="21"/>
      <c r="D1428" s="21"/>
      <c r="E1428" s="21"/>
      <c r="F1428" s="21"/>
      <c r="G1428" s="21"/>
      <c r="H1428" s="21"/>
      <c r="I1428" s="21"/>
      <c r="J1428" s="21"/>
      <c r="K1428" s="21"/>
      <c r="L1428" s="21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  <c r="AB1428" s="7"/>
      <c r="AC1428" s="7"/>
      <c r="AD1428" s="7"/>
      <c r="AE1428" s="7"/>
    </row>
    <row r="1429">
      <c r="A1429" s="7"/>
      <c r="B1429" s="21"/>
      <c r="C1429" s="21"/>
      <c r="D1429" s="21"/>
      <c r="E1429" s="21"/>
      <c r="F1429" s="21"/>
      <c r="G1429" s="21"/>
      <c r="H1429" s="21"/>
      <c r="I1429" s="21"/>
      <c r="J1429" s="21"/>
      <c r="K1429" s="21"/>
      <c r="L1429" s="21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7"/>
      <c r="AE1429" s="7"/>
    </row>
    <row r="1430">
      <c r="A1430" s="7"/>
      <c r="B1430" s="21"/>
      <c r="C1430" s="21"/>
      <c r="D1430" s="21"/>
      <c r="E1430" s="21"/>
      <c r="F1430" s="21"/>
      <c r="G1430" s="21"/>
      <c r="H1430" s="21"/>
      <c r="I1430" s="21"/>
      <c r="J1430" s="21"/>
      <c r="K1430" s="21"/>
      <c r="L1430" s="21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  <c r="AC1430" s="7"/>
      <c r="AD1430" s="7"/>
      <c r="AE1430" s="7"/>
    </row>
    <row r="1431">
      <c r="A1431" s="7"/>
      <c r="B1431" s="21"/>
      <c r="C1431" s="21"/>
      <c r="D1431" s="21"/>
      <c r="E1431" s="21"/>
      <c r="F1431" s="21"/>
      <c r="G1431" s="21"/>
      <c r="H1431" s="21"/>
      <c r="I1431" s="21"/>
      <c r="J1431" s="21"/>
      <c r="K1431" s="21"/>
      <c r="L1431" s="21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  <c r="AB1431" s="7"/>
      <c r="AC1431" s="7"/>
      <c r="AD1431" s="7"/>
      <c r="AE1431" s="7"/>
    </row>
    <row r="1432">
      <c r="A1432" s="7"/>
      <c r="B1432" s="21"/>
      <c r="C1432" s="21"/>
      <c r="D1432" s="21"/>
      <c r="E1432" s="21"/>
      <c r="F1432" s="21"/>
      <c r="G1432" s="21"/>
      <c r="H1432" s="21"/>
      <c r="I1432" s="21"/>
      <c r="J1432" s="21"/>
      <c r="K1432" s="21"/>
      <c r="L1432" s="21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AB1432" s="7"/>
      <c r="AC1432" s="7"/>
      <c r="AD1432" s="7"/>
      <c r="AE1432" s="7"/>
    </row>
    <row r="1433">
      <c r="A1433" s="7"/>
      <c r="B1433" s="21"/>
      <c r="C1433" s="21"/>
      <c r="D1433" s="21"/>
      <c r="E1433" s="21"/>
      <c r="F1433" s="21"/>
      <c r="G1433" s="21"/>
      <c r="H1433" s="21"/>
      <c r="I1433" s="21"/>
      <c r="J1433" s="21"/>
      <c r="K1433" s="21"/>
      <c r="L1433" s="21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/>
      <c r="AC1433" s="7"/>
      <c r="AD1433" s="7"/>
      <c r="AE1433" s="7"/>
    </row>
    <row r="1434">
      <c r="A1434" s="7"/>
      <c r="B1434" s="21"/>
      <c r="C1434" s="21"/>
      <c r="D1434" s="21"/>
      <c r="E1434" s="21"/>
      <c r="F1434" s="21"/>
      <c r="G1434" s="21"/>
      <c r="H1434" s="21"/>
      <c r="I1434" s="21"/>
      <c r="J1434" s="21"/>
      <c r="K1434" s="21"/>
      <c r="L1434" s="21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  <c r="AC1434" s="7"/>
      <c r="AD1434" s="7"/>
      <c r="AE1434" s="7"/>
    </row>
    <row r="1435">
      <c r="A1435" s="7"/>
      <c r="B1435" s="21"/>
      <c r="C1435" s="21"/>
      <c r="D1435" s="21"/>
      <c r="E1435" s="21"/>
      <c r="F1435" s="21"/>
      <c r="G1435" s="21"/>
      <c r="H1435" s="21"/>
      <c r="I1435" s="21"/>
      <c r="J1435" s="21"/>
      <c r="K1435" s="21"/>
      <c r="L1435" s="21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/>
      <c r="AC1435" s="7"/>
      <c r="AD1435" s="7"/>
      <c r="AE1435" s="7"/>
    </row>
    <row r="1436">
      <c r="A1436" s="7"/>
      <c r="B1436" s="21"/>
      <c r="C1436" s="21"/>
      <c r="D1436" s="21"/>
      <c r="E1436" s="21"/>
      <c r="F1436" s="21"/>
      <c r="G1436" s="21"/>
      <c r="H1436" s="21"/>
      <c r="I1436" s="21"/>
      <c r="J1436" s="21"/>
      <c r="K1436" s="21"/>
      <c r="L1436" s="21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  <c r="AC1436" s="7"/>
      <c r="AD1436" s="7"/>
      <c r="AE1436" s="7"/>
    </row>
    <row r="1437">
      <c r="A1437" s="7"/>
      <c r="B1437" s="21"/>
      <c r="C1437" s="21"/>
      <c r="D1437" s="21"/>
      <c r="E1437" s="21"/>
      <c r="F1437" s="21"/>
      <c r="G1437" s="21"/>
      <c r="H1437" s="21"/>
      <c r="I1437" s="21"/>
      <c r="J1437" s="21"/>
      <c r="K1437" s="21"/>
      <c r="L1437" s="21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7"/>
      <c r="AC1437" s="7"/>
      <c r="AD1437" s="7"/>
      <c r="AE1437" s="7"/>
    </row>
    <row r="1438">
      <c r="A1438" s="7"/>
      <c r="B1438" s="21"/>
      <c r="C1438" s="21"/>
      <c r="D1438" s="21"/>
      <c r="E1438" s="21"/>
      <c r="F1438" s="21"/>
      <c r="G1438" s="21"/>
      <c r="H1438" s="21"/>
      <c r="I1438" s="21"/>
      <c r="J1438" s="21"/>
      <c r="K1438" s="21"/>
      <c r="L1438" s="21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/>
      <c r="AC1438" s="7"/>
      <c r="AD1438" s="7"/>
      <c r="AE1438" s="7"/>
    </row>
    <row r="1439">
      <c r="A1439" s="7"/>
      <c r="B1439" s="21"/>
      <c r="C1439" s="21"/>
      <c r="D1439" s="21"/>
      <c r="E1439" s="21"/>
      <c r="F1439" s="21"/>
      <c r="G1439" s="21"/>
      <c r="H1439" s="21"/>
      <c r="I1439" s="21"/>
      <c r="J1439" s="21"/>
      <c r="K1439" s="21"/>
      <c r="L1439" s="21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7"/>
      <c r="AE1439" s="7"/>
    </row>
    <row r="1440">
      <c r="A1440" s="7"/>
      <c r="B1440" s="21"/>
      <c r="C1440" s="21"/>
      <c r="D1440" s="21"/>
      <c r="E1440" s="21"/>
      <c r="F1440" s="21"/>
      <c r="G1440" s="21"/>
      <c r="H1440" s="21"/>
      <c r="I1440" s="21"/>
      <c r="J1440" s="21"/>
      <c r="K1440" s="21"/>
      <c r="L1440" s="21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  <c r="AC1440" s="7"/>
      <c r="AD1440" s="7"/>
      <c r="AE1440" s="7"/>
    </row>
    <row r="1441">
      <c r="A1441" s="7"/>
      <c r="B1441" s="21"/>
      <c r="C1441" s="21"/>
      <c r="D1441" s="21"/>
      <c r="E1441" s="21"/>
      <c r="F1441" s="21"/>
      <c r="G1441" s="21"/>
      <c r="H1441" s="21"/>
      <c r="I1441" s="21"/>
      <c r="J1441" s="21"/>
      <c r="K1441" s="21"/>
      <c r="L1441" s="21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7"/>
      <c r="AC1441" s="7"/>
      <c r="AD1441" s="7"/>
      <c r="AE1441" s="7"/>
    </row>
    <row r="1442">
      <c r="A1442" s="7"/>
      <c r="B1442" s="21"/>
      <c r="C1442" s="21"/>
      <c r="D1442" s="21"/>
      <c r="E1442" s="21"/>
      <c r="F1442" s="21"/>
      <c r="G1442" s="21"/>
      <c r="H1442" s="21"/>
      <c r="I1442" s="21"/>
      <c r="J1442" s="21"/>
      <c r="K1442" s="21"/>
      <c r="L1442" s="21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  <c r="AC1442" s="7"/>
      <c r="AD1442" s="7"/>
      <c r="AE1442" s="7"/>
    </row>
    <row r="1443">
      <c r="A1443" s="7"/>
      <c r="B1443" s="21"/>
      <c r="C1443" s="21"/>
      <c r="D1443" s="21"/>
      <c r="E1443" s="21"/>
      <c r="F1443" s="21"/>
      <c r="G1443" s="21"/>
      <c r="H1443" s="21"/>
      <c r="I1443" s="21"/>
      <c r="J1443" s="21"/>
      <c r="K1443" s="21"/>
      <c r="L1443" s="21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AB1443" s="7"/>
      <c r="AC1443" s="7"/>
      <c r="AD1443" s="7"/>
      <c r="AE1443" s="7"/>
    </row>
    <row r="1444">
      <c r="A1444" s="7"/>
      <c r="B1444" s="21"/>
      <c r="C1444" s="21"/>
      <c r="D1444" s="21"/>
      <c r="E1444" s="21"/>
      <c r="F1444" s="21"/>
      <c r="G1444" s="21"/>
      <c r="H1444" s="21"/>
      <c r="I1444" s="21"/>
      <c r="J1444" s="21"/>
      <c r="K1444" s="21"/>
      <c r="L1444" s="21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  <c r="AB1444" s="7"/>
      <c r="AC1444" s="7"/>
      <c r="AD1444" s="7"/>
      <c r="AE1444" s="7"/>
    </row>
    <row r="1445">
      <c r="A1445" s="7"/>
      <c r="B1445" s="21"/>
      <c r="C1445" s="21"/>
      <c r="D1445" s="21"/>
      <c r="E1445" s="21"/>
      <c r="F1445" s="21"/>
      <c r="G1445" s="21"/>
      <c r="H1445" s="21"/>
      <c r="I1445" s="21"/>
      <c r="J1445" s="21"/>
      <c r="K1445" s="21"/>
      <c r="L1445" s="21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  <c r="AC1445" s="7"/>
      <c r="AD1445" s="7"/>
      <c r="AE1445" s="7"/>
    </row>
    <row r="1446">
      <c r="A1446" s="7"/>
      <c r="B1446" s="21"/>
      <c r="C1446" s="21"/>
      <c r="D1446" s="21"/>
      <c r="E1446" s="21"/>
      <c r="F1446" s="21"/>
      <c r="G1446" s="21"/>
      <c r="H1446" s="21"/>
      <c r="I1446" s="21"/>
      <c r="J1446" s="21"/>
      <c r="K1446" s="21"/>
      <c r="L1446" s="21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  <c r="AC1446" s="7"/>
      <c r="AD1446" s="7"/>
      <c r="AE1446" s="7"/>
    </row>
    <row r="1447">
      <c r="A1447" s="7"/>
      <c r="B1447" s="21"/>
      <c r="C1447" s="21"/>
      <c r="D1447" s="21"/>
      <c r="E1447" s="21"/>
      <c r="F1447" s="21"/>
      <c r="G1447" s="21"/>
      <c r="H1447" s="21"/>
      <c r="I1447" s="21"/>
      <c r="J1447" s="21"/>
      <c r="K1447" s="21"/>
      <c r="L1447" s="21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  <c r="AC1447" s="7"/>
      <c r="AD1447" s="7"/>
      <c r="AE1447" s="7"/>
    </row>
    <row r="1448">
      <c r="A1448" s="7"/>
      <c r="B1448" s="21"/>
      <c r="C1448" s="21"/>
      <c r="D1448" s="21"/>
      <c r="E1448" s="21"/>
      <c r="F1448" s="21"/>
      <c r="G1448" s="21"/>
      <c r="H1448" s="21"/>
      <c r="I1448" s="21"/>
      <c r="J1448" s="21"/>
      <c r="K1448" s="21"/>
      <c r="L1448" s="21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7"/>
      <c r="AC1448" s="7"/>
      <c r="AD1448" s="7"/>
      <c r="AE1448" s="7"/>
    </row>
    <row r="1449">
      <c r="A1449" s="7"/>
      <c r="B1449" s="21"/>
      <c r="C1449" s="21"/>
      <c r="D1449" s="21"/>
      <c r="E1449" s="21"/>
      <c r="F1449" s="21"/>
      <c r="G1449" s="21"/>
      <c r="H1449" s="21"/>
      <c r="I1449" s="21"/>
      <c r="J1449" s="21"/>
      <c r="K1449" s="21"/>
      <c r="L1449" s="21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AB1449" s="7"/>
      <c r="AC1449" s="7"/>
      <c r="AD1449" s="7"/>
      <c r="AE1449" s="7"/>
    </row>
    <row r="1450">
      <c r="A1450" s="7"/>
      <c r="B1450" s="21"/>
      <c r="C1450" s="21"/>
      <c r="D1450" s="21"/>
      <c r="E1450" s="21"/>
      <c r="F1450" s="21"/>
      <c r="G1450" s="21"/>
      <c r="H1450" s="21"/>
      <c r="I1450" s="21"/>
      <c r="J1450" s="21"/>
      <c r="K1450" s="21"/>
      <c r="L1450" s="21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7"/>
      <c r="AC1450" s="7"/>
      <c r="AD1450" s="7"/>
      <c r="AE1450" s="7"/>
    </row>
    <row r="1451">
      <c r="A1451" s="7"/>
      <c r="B1451" s="21"/>
      <c r="C1451" s="21"/>
      <c r="D1451" s="21"/>
      <c r="E1451" s="21"/>
      <c r="F1451" s="21"/>
      <c r="G1451" s="21"/>
      <c r="H1451" s="21"/>
      <c r="I1451" s="21"/>
      <c r="J1451" s="21"/>
      <c r="K1451" s="21"/>
      <c r="L1451" s="21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  <c r="AC1451" s="7"/>
      <c r="AD1451" s="7"/>
      <c r="AE1451" s="7"/>
    </row>
    <row r="1452">
      <c r="A1452" s="7"/>
      <c r="B1452" s="21"/>
      <c r="C1452" s="21"/>
      <c r="D1452" s="21"/>
      <c r="E1452" s="21"/>
      <c r="F1452" s="21"/>
      <c r="G1452" s="21"/>
      <c r="H1452" s="21"/>
      <c r="I1452" s="21"/>
      <c r="J1452" s="21"/>
      <c r="K1452" s="21"/>
      <c r="L1452" s="21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7"/>
      <c r="AC1452" s="7"/>
      <c r="AD1452" s="7"/>
      <c r="AE1452" s="7"/>
    </row>
    <row r="1453">
      <c r="A1453" s="7"/>
      <c r="B1453" s="21"/>
      <c r="C1453" s="21"/>
      <c r="D1453" s="21"/>
      <c r="E1453" s="21"/>
      <c r="F1453" s="21"/>
      <c r="G1453" s="21"/>
      <c r="H1453" s="21"/>
      <c r="I1453" s="21"/>
      <c r="J1453" s="21"/>
      <c r="K1453" s="21"/>
      <c r="L1453" s="21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  <c r="AA1453" s="7"/>
      <c r="AB1453" s="7"/>
      <c r="AC1453" s="7"/>
      <c r="AD1453" s="7"/>
      <c r="AE1453" s="7"/>
    </row>
    <row r="1454">
      <c r="A1454" s="7"/>
      <c r="B1454" s="21"/>
      <c r="C1454" s="21"/>
      <c r="D1454" s="21"/>
      <c r="E1454" s="21"/>
      <c r="F1454" s="21"/>
      <c r="G1454" s="21"/>
      <c r="H1454" s="21"/>
      <c r="I1454" s="21"/>
      <c r="J1454" s="21"/>
      <c r="K1454" s="21"/>
      <c r="L1454" s="21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  <c r="AB1454" s="7"/>
      <c r="AC1454" s="7"/>
      <c r="AD1454" s="7"/>
      <c r="AE1454" s="7"/>
    </row>
    <row r="1455">
      <c r="A1455" s="7"/>
      <c r="B1455" s="21"/>
      <c r="C1455" s="21"/>
      <c r="D1455" s="21"/>
      <c r="E1455" s="21"/>
      <c r="F1455" s="21"/>
      <c r="G1455" s="21"/>
      <c r="H1455" s="21"/>
      <c r="I1455" s="21"/>
      <c r="J1455" s="21"/>
      <c r="K1455" s="21"/>
      <c r="L1455" s="21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  <c r="AA1455" s="7"/>
      <c r="AB1455" s="7"/>
      <c r="AC1455" s="7"/>
      <c r="AD1455" s="7"/>
      <c r="AE1455" s="7"/>
    </row>
    <row r="1456">
      <c r="A1456" s="7"/>
      <c r="B1456" s="21"/>
      <c r="C1456" s="21"/>
      <c r="D1456" s="21"/>
      <c r="E1456" s="21"/>
      <c r="F1456" s="21"/>
      <c r="G1456" s="21"/>
      <c r="H1456" s="21"/>
      <c r="I1456" s="21"/>
      <c r="J1456" s="21"/>
      <c r="K1456" s="21"/>
      <c r="L1456" s="21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  <c r="AA1456" s="7"/>
      <c r="AB1456" s="7"/>
      <c r="AC1456" s="7"/>
      <c r="AD1456" s="7"/>
      <c r="AE1456" s="7"/>
    </row>
    <row r="1457">
      <c r="A1457" s="7"/>
      <c r="B1457" s="21"/>
      <c r="C1457" s="21"/>
      <c r="D1457" s="21"/>
      <c r="E1457" s="21"/>
      <c r="F1457" s="21"/>
      <c r="G1457" s="21"/>
      <c r="H1457" s="21"/>
      <c r="I1457" s="21"/>
      <c r="J1457" s="21"/>
      <c r="K1457" s="21"/>
      <c r="L1457" s="21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7"/>
      <c r="AC1457" s="7"/>
      <c r="AD1457" s="7"/>
      <c r="AE1457" s="7"/>
    </row>
    <row r="1458">
      <c r="A1458" s="7"/>
      <c r="B1458" s="21"/>
      <c r="C1458" s="21"/>
      <c r="D1458" s="21"/>
      <c r="E1458" s="21"/>
      <c r="F1458" s="21"/>
      <c r="G1458" s="21"/>
      <c r="H1458" s="21"/>
      <c r="I1458" s="21"/>
      <c r="J1458" s="21"/>
      <c r="K1458" s="21"/>
      <c r="L1458" s="21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  <c r="AA1458" s="7"/>
      <c r="AB1458" s="7"/>
      <c r="AC1458" s="7"/>
      <c r="AD1458" s="7"/>
      <c r="AE1458" s="7"/>
    </row>
    <row r="1459">
      <c r="A1459" s="7"/>
      <c r="B1459" s="21"/>
      <c r="C1459" s="21"/>
      <c r="D1459" s="21"/>
      <c r="E1459" s="21"/>
      <c r="F1459" s="21"/>
      <c r="G1459" s="21"/>
      <c r="H1459" s="21"/>
      <c r="I1459" s="21"/>
      <c r="J1459" s="21"/>
      <c r="K1459" s="21"/>
      <c r="L1459" s="21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AB1459" s="7"/>
      <c r="AC1459" s="7"/>
      <c r="AD1459" s="7"/>
      <c r="AE1459" s="7"/>
    </row>
    <row r="1460">
      <c r="A1460" s="7"/>
      <c r="B1460" s="21"/>
      <c r="C1460" s="21"/>
      <c r="D1460" s="21"/>
      <c r="E1460" s="21"/>
      <c r="F1460" s="21"/>
      <c r="G1460" s="21"/>
      <c r="H1460" s="21"/>
      <c r="I1460" s="21"/>
      <c r="J1460" s="21"/>
      <c r="K1460" s="21"/>
      <c r="L1460" s="21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7"/>
      <c r="AC1460" s="7"/>
      <c r="AD1460" s="7"/>
      <c r="AE1460" s="7"/>
    </row>
    <row r="1461">
      <c r="A1461" s="7"/>
      <c r="B1461" s="21"/>
      <c r="C1461" s="21"/>
      <c r="D1461" s="21"/>
      <c r="E1461" s="21"/>
      <c r="F1461" s="21"/>
      <c r="G1461" s="21"/>
      <c r="H1461" s="21"/>
      <c r="I1461" s="21"/>
      <c r="J1461" s="21"/>
      <c r="K1461" s="21"/>
      <c r="L1461" s="21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  <c r="AA1461" s="7"/>
      <c r="AB1461" s="7"/>
      <c r="AC1461" s="7"/>
      <c r="AD1461" s="7"/>
      <c r="AE1461" s="7"/>
    </row>
    <row r="1462">
      <c r="A1462" s="7"/>
      <c r="B1462" s="21"/>
      <c r="C1462" s="21"/>
      <c r="D1462" s="21"/>
      <c r="E1462" s="21"/>
      <c r="F1462" s="21"/>
      <c r="G1462" s="21"/>
      <c r="H1462" s="21"/>
      <c r="I1462" s="21"/>
      <c r="J1462" s="21"/>
      <c r="K1462" s="21"/>
      <c r="L1462" s="21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  <c r="AA1462" s="7"/>
      <c r="AB1462" s="7"/>
      <c r="AC1462" s="7"/>
      <c r="AD1462" s="7"/>
      <c r="AE1462" s="7"/>
    </row>
    <row r="1463">
      <c r="A1463" s="7"/>
      <c r="B1463" s="21"/>
      <c r="C1463" s="21"/>
      <c r="D1463" s="21"/>
      <c r="E1463" s="21"/>
      <c r="F1463" s="21"/>
      <c r="G1463" s="21"/>
      <c r="H1463" s="21"/>
      <c r="I1463" s="21"/>
      <c r="J1463" s="21"/>
      <c r="K1463" s="21"/>
      <c r="L1463" s="21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7"/>
      <c r="AB1463" s="7"/>
      <c r="AC1463" s="7"/>
      <c r="AD1463" s="7"/>
      <c r="AE1463" s="7"/>
    </row>
    <row r="1464">
      <c r="A1464" s="7"/>
      <c r="B1464" s="21"/>
      <c r="C1464" s="21"/>
      <c r="D1464" s="21"/>
      <c r="E1464" s="21"/>
      <c r="F1464" s="21"/>
      <c r="G1464" s="21"/>
      <c r="H1464" s="21"/>
      <c r="I1464" s="21"/>
      <c r="J1464" s="21"/>
      <c r="K1464" s="21"/>
      <c r="L1464" s="21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/>
      <c r="AC1464" s="7"/>
      <c r="AD1464" s="7"/>
      <c r="AE1464" s="7"/>
    </row>
    <row r="1465">
      <c r="A1465" s="7"/>
      <c r="B1465" s="21"/>
      <c r="C1465" s="21"/>
      <c r="D1465" s="21"/>
      <c r="E1465" s="21"/>
      <c r="F1465" s="21"/>
      <c r="G1465" s="21"/>
      <c r="H1465" s="21"/>
      <c r="I1465" s="21"/>
      <c r="J1465" s="21"/>
      <c r="K1465" s="21"/>
      <c r="L1465" s="21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7"/>
      <c r="AC1465" s="7"/>
      <c r="AD1465" s="7"/>
      <c r="AE1465" s="7"/>
    </row>
    <row r="1466">
      <c r="A1466" s="7"/>
      <c r="B1466" s="21"/>
      <c r="C1466" s="21"/>
      <c r="D1466" s="21"/>
      <c r="E1466" s="21"/>
      <c r="F1466" s="21"/>
      <c r="G1466" s="21"/>
      <c r="H1466" s="21"/>
      <c r="I1466" s="21"/>
      <c r="J1466" s="21"/>
      <c r="K1466" s="21"/>
      <c r="L1466" s="21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7"/>
      <c r="AC1466" s="7"/>
      <c r="AD1466" s="7"/>
      <c r="AE1466" s="7"/>
    </row>
    <row r="1467">
      <c r="A1467" s="7"/>
      <c r="B1467" s="21"/>
      <c r="C1467" s="21"/>
      <c r="D1467" s="21"/>
      <c r="E1467" s="21"/>
      <c r="F1467" s="21"/>
      <c r="G1467" s="21"/>
      <c r="H1467" s="21"/>
      <c r="I1467" s="21"/>
      <c r="J1467" s="21"/>
      <c r="K1467" s="21"/>
      <c r="L1467" s="21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  <c r="AA1467" s="7"/>
      <c r="AB1467" s="7"/>
      <c r="AC1467" s="7"/>
      <c r="AD1467" s="7"/>
      <c r="AE1467" s="7"/>
    </row>
    <row r="1468">
      <c r="A1468" s="7"/>
      <c r="B1468" s="21"/>
      <c r="C1468" s="21"/>
      <c r="D1468" s="21"/>
      <c r="E1468" s="21"/>
      <c r="F1468" s="21"/>
      <c r="G1468" s="21"/>
      <c r="H1468" s="21"/>
      <c r="I1468" s="21"/>
      <c r="J1468" s="21"/>
      <c r="K1468" s="21"/>
      <c r="L1468" s="21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7"/>
      <c r="AB1468" s="7"/>
      <c r="AC1468" s="7"/>
      <c r="AD1468" s="7"/>
      <c r="AE1468" s="7"/>
    </row>
    <row r="1469">
      <c r="A1469" s="7"/>
      <c r="B1469" s="21"/>
      <c r="C1469" s="21"/>
      <c r="D1469" s="21"/>
      <c r="E1469" s="21"/>
      <c r="F1469" s="21"/>
      <c r="G1469" s="21"/>
      <c r="H1469" s="21"/>
      <c r="I1469" s="21"/>
      <c r="J1469" s="21"/>
      <c r="K1469" s="21"/>
      <c r="L1469" s="21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7"/>
      <c r="AE1469" s="7"/>
    </row>
    <row r="1470">
      <c r="A1470" s="7"/>
      <c r="B1470" s="21"/>
      <c r="C1470" s="21"/>
      <c r="D1470" s="21"/>
      <c r="E1470" s="21"/>
      <c r="F1470" s="21"/>
      <c r="G1470" s="21"/>
      <c r="H1470" s="21"/>
      <c r="I1470" s="21"/>
      <c r="J1470" s="21"/>
      <c r="K1470" s="21"/>
      <c r="L1470" s="21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AB1470" s="7"/>
      <c r="AC1470" s="7"/>
      <c r="AD1470" s="7"/>
      <c r="AE1470" s="7"/>
    </row>
    <row r="1471">
      <c r="A1471" s="7"/>
      <c r="B1471" s="21"/>
      <c r="C1471" s="21"/>
      <c r="D1471" s="21"/>
      <c r="E1471" s="21"/>
      <c r="F1471" s="21"/>
      <c r="G1471" s="21"/>
      <c r="H1471" s="21"/>
      <c r="I1471" s="21"/>
      <c r="J1471" s="21"/>
      <c r="K1471" s="21"/>
      <c r="L1471" s="21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7"/>
      <c r="AC1471" s="7"/>
      <c r="AD1471" s="7"/>
      <c r="AE1471" s="7"/>
    </row>
    <row r="1472">
      <c r="A1472" s="7"/>
      <c r="B1472" s="21"/>
      <c r="C1472" s="21"/>
      <c r="D1472" s="21"/>
      <c r="E1472" s="21"/>
      <c r="F1472" s="21"/>
      <c r="G1472" s="21"/>
      <c r="H1472" s="21"/>
      <c r="I1472" s="21"/>
      <c r="J1472" s="21"/>
      <c r="K1472" s="21"/>
      <c r="L1472" s="21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/>
      <c r="AC1472" s="7"/>
      <c r="AD1472" s="7"/>
      <c r="AE1472" s="7"/>
    </row>
    <row r="1473">
      <c r="A1473" s="7"/>
      <c r="B1473" s="21"/>
      <c r="C1473" s="21"/>
      <c r="D1473" s="21"/>
      <c r="E1473" s="21"/>
      <c r="F1473" s="21"/>
      <c r="G1473" s="21"/>
      <c r="H1473" s="21"/>
      <c r="I1473" s="21"/>
      <c r="J1473" s="21"/>
      <c r="K1473" s="21"/>
      <c r="L1473" s="21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  <c r="AB1473" s="7"/>
      <c r="AC1473" s="7"/>
      <c r="AD1473" s="7"/>
      <c r="AE1473" s="7"/>
    </row>
    <row r="1474">
      <c r="A1474" s="7"/>
      <c r="B1474" s="21"/>
      <c r="C1474" s="21"/>
      <c r="D1474" s="21"/>
      <c r="E1474" s="21"/>
      <c r="F1474" s="21"/>
      <c r="G1474" s="21"/>
      <c r="H1474" s="21"/>
      <c r="I1474" s="21"/>
      <c r="J1474" s="21"/>
      <c r="K1474" s="21"/>
      <c r="L1474" s="21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  <c r="AA1474" s="7"/>
      <c r="AB1474" s="7"/>
      <c r="AC1474" s="7"/>
      <c r="AD1474" s="7"/>
      <c r="AE1474" s="7"/>
    </row>
    <row r="1475">
      <c r="A1475" s="7"/>
      <c r="B1475" s="21"/>
      <c r="C1475" s="21"/>
      <c r="D1475" s="21"/>
      <c r="E1475" s="21"/>
      <c r="F1475" s="21"/>
      <c r="G1475" s="21"/>
      <c r="H1475" s="21"/>
      <c r="I1475" s="21"/>
      <c r="J1475" s="21"/>
      <c r="K1475" s="21"/>
      <c r="L1475" s="21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  <c r="AC1475" s="7"/>
      <c r="AD1475" s="7"/>
      <c r="AE1475" s="7"/>
    </row>
    <row r="1476">
      <c r="A1476" s="7"/>
      <c r="B1476" s="21"/>
      <c r="C1476" s="21"/>
      <c r="D1476" s="21"/>
      <c r="E1476" s="21"/>
      <c r="F1476" s="21"/>
      <c r="G1476" s="21"/>
      <c r="H1476" s="21"/>
      <c r="I1476" s="21"/>
      <c r="J1476" s="21"/>
      <c r="K1476" s="21"/>
      <c r="L1476" s="21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7"/>
      <c r="AC1476" s="7"/>
      <c r="AD1476" s="7"/>
      <c r="AE1476" s="7"/>
    </row>
    <row r="1477">
      <c r="A1477" s="7"/>
      <c r="B1477" s="21"/>
      <c r="C1477" s="21"/>
      <c r="D1477" s="21"/>
      <c r="E1477" s="21"/>
      <c r="F1477" s="21"/>
      <c r="G1477" s="21"/>
      <c r="H1477" s="21"/>
      <c r="I1477" s="21"/>
      <c r="J1477" s="21"/>
      <c r="K1477" s="21"/>
      <c r="L1477" s="21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7"/>
      <c r="AC1477" s="7"/>
      <c r="AD1477" s="7"/>
      <c r="AE1477" s="7"/>
    </row>
    <row r="1478">
      <c r="A1478" s="7"/>
      <c r="B1478" s="21"/>
      <c r="C1478" s="21"/>
      <c r="D1478" s="21"/>
      <c r="E1478" s="21"/>
      <c r="F1478" s="21"/>
      <c r="G1478" s="21"/>
      <c r="H1478" s="21"/>
      <c r="I1478" s="21"/>
      <c r="J1478" s="21"/>
      <c r="K1478" s="21"/>
      <c r="L1478" s="21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7"/>
      <c r="AC1478" s="7"/>
      <c r="AD1478" s="7"/>
      <c r="AE1478" s="7"/>
    </row>
    <row r="1479">
      <c r="A1479" s="7"/>
      <c r="B1479" s="21"/>
      <c r="C1479" s="21"/>
      <c r="D1479" s="21"/>
      <c r="E1479" s="21"/>
      <c r="F1479" s="21"/>
      <c r="G1479" s="21"/>
      <c r="H1479" s="21"/>
      <c r="I1479" s="21"/>
      <c r="J1479" s="21"/>
      <c r="K1479" s="21"/>
      <c r="L1479" s="21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  <c r="AC1479" s="7"/>
      <c r="AD1479" s="7"/>
      <c r="AE1479" s="7"/>
    </row>
    <row r="1480">
      <c r="A1480" s="7"/>
      <c r="B1480" s="21"/>
      <c r="C1480" s="21"/>
      <c r="D1480" s="21"/>
      <c r="E1480" s="21"/>
      <c r="F1480" s="21"/>
      <c r="G1480" s="21"/>
      <c r="H1480" s="21"/>
      <c r="I1480" s="21"/>
      <c r="J1480" s="21"/>
      <c r="K1480" s="21"/>
      <c r="L1480" s="21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  <c r="AE1480" s="7"/>
    </row>
    <row r="1481">
      <c r="A1481" s="7"/>
      <c r="B1481" s="21"/>
      <c r="C1481" s="21"/>
      <c r="D1481" s="21"/>
      <c r="E1481" s="21"/>
      <c r="F1481" s="21"/>
      <c r="G1481" s="21"/>
      <c r="H1481" s="21"/>
      <c r="I1481" s="21"/>
      <c r="J1481" s="21"/>
      <c r="K1481" s="21"/>
      <c r="L1481" s="21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7"/>
      <c r="AE1481" s="7"/>
    </row>
    <row r="1482">
      <c r="A1482" s="7"/>
      <c r="B1482" s="21"/>
      <c r="C1482" s="21"/>
      <c r="D1482" s="21"/>
      <c r="E1482" s="21"/>
      <c r="F1482" s="21"/>
      <c r="G1482" s="21"/>
      <c r="H1482" s="21"/>
      <c r="I1482" s="21"/>
      <c r="J1482" s="21"/>
      <c r="K1482" s="21"/>
      <c r="L1482" s="21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7"/>
      <c r="AE1482" s="7"/>
    </row>
    <row r="1483">
      <c r="A1483" s="7"/>
      <c r="B1483" s="21"/>
      <c r="C1483" s="21"/>
      <c r="D1483" s="21"/>
      <c r="E1483" s="21"/>
      <c r="F1483" s="21"/>
      <c r="G1483" s="21"/>
      <c r="H1483" s="21"/>
      <c r="I1483" s="21"/>
      <c r="J1483" s="21"/>
      <c r="K1483" s="21"/>
      <c r="L1483" s="21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  <c r="AE1483" s="7"/>
    </row>
    <row r="1484">
      <c r="A1484" s="7"/>
      <c r="B1484" s="21"/>
      <c r="C1484" s="21"/>
      <c r="D1484" s="21"/>
      <c r="E1484" s="21"/>
      <c r="F1484" s="21"/>
      <c r="G1484" s="21"/>
      <c r="H1484" s="21"/>
      <c r="I1484" s="21"/>
      <c r="J1484" s="21"/>
      <c r="K1484" s="21"/>
      <c r="L1484" s="21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  <c r="AE1484" s="7"/>
    </row>
    <row r="1485">
      <c r="A1485" s="7"/>
      <c r="B1485" s="21"/>
      <c r="C1485" s="21"/>
      <c r="D1485" s="21"/>
      <c r="E1485" s="21"/>
      <c r="F1485" s="21"/>
      <c r="G1485" s="21"/>
      <c r="H1485" s="21"/>
      <c r="I1485" s="21"/>
      <c r="J1485" s="21"/>
      <c r="K1485" s="21"/>
      <c r="L1485" s="21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7"/>
      <c r="AC1485" s="7"/>
      <c r="AD1485" s="7"/>
      <c r="AE1485" s="7"/>
    </row>
    <row r="1486">
      <c r="A1486" s="7"/>
      <c r="B1486" s="21"/>
      <c r="C1486" s="21"/>
      <c r="D1486" s="21"/>
      <c r="E1486" s="21"/>
      <c r="F1486" s="21"/>
      <c r="G1486" s="21"/>
      <c r="H1486" s="21"/>
      <c r="I1486" s="21"/>
      <c r="J1486" s="21"/>
      <c r="K1486" s="21"/>
      <c r="L1486" s="21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7"/>
      <c r="AC1486" s="7"/>
      <c r="AD1486" s="7"/>
      <c r="AE1486" s="7"/>
    </row>
    <row r="1487">
      <c r="A1487" s="7"/>
      <c r="B1487" s="21"/>
      <c r="C1487" s="21"/>
      <c r="D1487" s="21"/>
      <c r="E1487" s="21"/>
      <c r="F1487" s="21"/>
      <c r="G1487" s="21"/>
      <c r="H1487" s="21"/>
      <c r="I1487" s="21"/>
      <c r="J1487" s="21"/>
      <c r="K1487" s="21"/>
      <c r="L1487" s="21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/>
      <c r="AC1487" s="7"/>
      <c r="AD1487" s="7"/>
      <c r="AE1487" s="7"/>
    </row>
    <row r="1488">
      <c r="A1488" s="7"/>
      <c r="B1488" s="21"/>
      <c r="C1488" s="21"/>
      <c r="D1488" s="21"/>
      <c r="E1488" s="21"/>
      <c r="F1488" s="21"/>
      <c r="G1488" s="21"/>
      <c r="H1488" s="21"/>
      <c r="I1488" s="21"/>
      <c r="J1488" s="21"/>
      <c r="K1488" s="21"/>
      <c r="L1488" s="21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/>
      <c r="AC1488" s="7"/>
      <c r="AD1488" s="7"/>
      <c r="AE1488" s="7"/>
    </row>
    <row r="1489">
      <c r="A1489" s="7"/>
      <c r="B1489" s="21"/>
      <c r="C1489" s="21"/>
      <c r="D1489" s="21"/>
      <c r="E1489" s="21"/>
      <c r="F1489" s="21"/>
      <c r="G1489" s="21"/>
      <c r="H1489" s="21"/>
      <c r="I1489" s="21"/>
      <c r="J1489" s="21"/>
      <c r="K1489" s="21"/>
      <c r="L1489" s="21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  <c r="AC1489" s="7"/>
      <c r="AD1489" s="7"/>
      <c r="AE1489" s="7"/>
    </row>
    <row r="1490">
      <c r="A1490" s="7"/>
      <c r="B1490" s="21"/>
      <c r="C1490" s="21"/>
      <c r="D1490" s="21"/>
      <c r="E1490" s="21"/>
      <c r="F1490" s="21"/>
      <c r="G1490" s="21"/>
      <c r="H1490" s="21"/>
      <c r="I1490" s="21"/>
      <c r="J1490" s="21"/>
      <c r="K1490" s="21"/>
      <c r="L1490" s="21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  <c r="AC1490" s="7"/>
      <c r="AD1490" s="7"/>
      <c r="AE1490" s="7"/>
    </row>
    <row r="1491">
      <c r="A1491" s="7"/>
      <c r="B1491" s="21"/>
      <c r="C1491" s="21"/>
      <c r="D1491" s="21"/>
      <c r="E1491" s="21"/>
      <c r="F1491" s="21"/>
      <c r="G1491" s="21"/>
      <c r="H1491" s="21"/>
      <c r="I1491" s="21"/>
      <c r="J1491" s="21"/>
      <c r="K1491" s="21"/>
      <c r="L1491" s="21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AB1491" s="7"/>
      <c r="AC1491" s="7"/>
      <c r="AD1491" s="7"/>
      <c r="AE1491" s="7"/>
    </row>
    <row r="1492">
      <c r="A1492" s="7"/>
      <c r="B1492" s="21"/>
      <c r="C1492" s="21"/>
      <c r="D1492" s="21"/>
      <c r="E1492" s="21"/>
      <c r="F1492" s="21"/>
      <c r="G1492" s="21"/>
      <c r="H1492" s="21"/>
      <c r="I1492" s="21"/>
      <c r="J1492" s="21"/>
      <c r="K1492" s="21"/>
      <c r="L1492" s="21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7"/>
      <c r="AC1492" s="7"/>
      <c r="AD1492" s="7"/>
      <c r="AE1492" s="7"/>
    </row>
    <row r="1493">
      <c r="A1493" s="7"/>
      <c r="B1493" s="21"/>
      <c r="C1493" s="21"/>
      <c r="D1493" s="21"/>
      <c r="E1493" s="21"/>
      <c r="F1493" s="21"/>
      <c r="G1493" s="21"/>
      <c r="H1493" s="21"/>
      <c r="I1493" s="21"/>
      <c r="J1493" s="21"/>
      <c r="K1493" s="21"/>
      <c r="L1493" s="21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7"/>
      <c r="AE1493" s="7"/>
    </row>
    <row r="1494">
      <c r="A1494" s="7"/>
      <c r="B1494" s="21"/>
      <c r="C1494" s="21"/>
      <c r="D1494" s="21"/>
      <c r="E1494" s="21"/>
      <c r="F1494" s="21"/>
      <c r="G1494" s="21"/>
      <c r="H1494" s="21"/>
      <c r="I1494" s="21"/>
      <c r="J1494" s="21"/>
      <c r="K1494" s="21"/>
      <c r="L1494" s="21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  <c r="AC1494" s="7"/>
      <c r="AD1494" s="7"/>
      <c r="AE1494" s="7"/>
    </row>
    <row r="1495">
      <c r="A1495" s="7"/>
      <c r="B1495" s="21"/>
      <c r="C1495" s="21"/>
      <c r="D1495" s="21"/>
      <c r="E1495" s="21"/>
      <c r="F1495" s="21"/>
      <c r="G1495" s="21"/>
      <c r="H1495" s="21"/>
      <c r="I1495" s="21"/>
      <c r="J1495" s="21"/>
      <c r="K1495" s="21"/>
      <c r="L1495" s="21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  <c r="AC1495" s="7"/>
      <c r="AD1495" s="7"/>
      <c r="AE1495" s="7"/>
    </row>
    <row r="1496">
      <c r="A1496" s="7"/>
      <c r="B1496" s="21"/>
      <c r="C1496" s="21"/>
      <c r="D1496" s="21"/>
      <c r="E1496" s="21"/>
      <c r="F1496" s="21"/>
      <c r="G1496" s="21"/>
      <c r="H1496" s="21"/>
      <c r="I1496" s="21"/>
      <c r="J1496" s="21"/>
      <c r="K1496" s="21"/>
      <c r="L1496" s="21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  <c r="AC1496" s="7"/>
      <c r="AD1496" s="7"/>
      <c r="AE1496" s="7"/>
    </row>
    <row r="1497">
      <c r="A1497" s="7"/>
      <c r="B1497" s="21"/>
      <c r="C1497" s="21"/>
      <c r="D1497" s="21"/>
      <c r="E1497" s="21"/>
      <c r="F1497" s="21"/>
      <c r="G1497" s="21"/>
      <c r="H1497" s="21"/>
      <c r="I1497" s="21"/>
      <c r="J1497" s="21"/>
      <c r="K1497" s="21"/>
      <c r="L1497" s="21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</row>
    <row r="1498">
      <c r="A1498" s="7"/>
      <c r="B1498" s="21"/>
      <c r="C1498" s="21"/>
      <c r="D1498" s="21"/>
      <c r="E1498" s="21"/>
      <c r="F1498" s="21"/>
      <c r="G1498" s="21"/>
      <c r="H1498" s="21"/>
      <c r="I1498" s="21"/>
      <c r="J1498" s="21"/>
      <c r="K1498" s="21"/>
      <c r="L1498" s="21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  <c r="AC1498" s="7"/>
      <c r="AD1498" s="7"/>
      <c r="AE1498" s="7"/>
    </row>
    <row r="1499">
      <c r="A1499" s="7"/>
      <c r="B1499" s="21"/>
      <c r="C1499" s="21"/>
      <c r="D1499" s="21"/>
      <c r="E1499" s="21"/>
      <c r="F1499" s="21"/>
      <c r="G1499" s="21"/>
      <c r="H1499" s="21"/>
      <c r="I1499" s="21"/>
      <c r="J1499" s="21"/>
      <c r="K1499" s="21"/>
      <c r="L1499" s="21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  <c r="AC1499" s="7"/>
      <c r="AD1499" s="7"/>
      <c r="AE1499" s="7"/>
    </row>
    <row r="1500">
      <c r="A1500" s="7"/>
      <c r="B1500" s="21"/>
      <c r="C1500" s="21"/>
      <c r="D1500" s="21"/>
      <c r="E1500" s="21"/>
      <c r="F1500" s="21"/>
      <c r="G1500" s="21"/>
      <c r="H1500" s="21"/>
      <c r="I1500" s="21"/>
      <c r="J1500" s="21"/>
      <c r="K1500" s="21"/>
      <c r="L1500" s="21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  <c r="AE1500" s="7"/>
    </row>
    <row r="1501">
      <c r="A1501" s="7"/>
      <c r="B1501" s="21"/>
      <c r="C1501" s="21"/>
      <c r="D1501" s="21"/>
      <c r="E1501" s="21"/>
      <c r="F1501" s="21"/>
      <c r="G1501" s="21"/>
      <c r="H1501" s="21"/>
      <c r="I1501" s="21"/>
      <c r="J1501" s="21"/>
      <c r="K1501" s="21"/>
      <c r="L1501" s="21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7"/>
      <c r="AE1501" s="7"/>
    </row>
    <row r="1502">
      <c r="A1502" s="7"/>
      <c r="B1502" s="21"/>
      <c r="C1502" s="21"/>
      <c r="D1502" s="21"/>
      <c r="E1502" s="21"/>
      <c r="F1502" s="21"/>
      <c r="G1502" s="21"/>
      <c r="H1502" s="21"/>
      <c r="I1502" s="21"/>
      <c r="J1502" s="21"/>
      <c r="K1502" s="21"/>
      <c r="L1502" s="21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7"/>
      <c r="AE1502" s="7"/>
    </row>
    <row r="1503">
      <c r="A1503" s="7"/>
      <c r="B1503" s="21"/>
      <c r="C1503" s="21"/>
      <c r="D1503" s="21"/>
      <c r="E1503" s="21"/>
      <c r="F1503" s="21"/>
      <c r="G1503" s="21"/>
      <c r="H1503" s="21"/>
      <c r="I1503" s="21"/>
      <c r="J1503" s="21"/>
      <c r="K1503" s="21"/>
      <c r="L1503" s="21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  <c r="AA1503" s="7"/>
      <c r="AB1503" s="7"/>
      <c r="AC1503" s="7"/>
      <c r="AD1503" s="7"/>
      <c r="AE1503" s="7"/>
    </row>
    <row r="1504">
      <c r="A1504" s="7"/>
      <c r="B1504" s="21"/>
      <c r="C1504" s="21"/>
      <c r="D1504" s="21"/>
      <c r="E1504" s="21"/>
      <c r="F1504" s="21"/>
      <c r="G1504" s="21"/>
      <c r="H1504" s="21"/>
      <c r="I1504" s="21"/>
      <c r="J1504" s="21"/>
      <c r="K1504" s="21"/>
      <c r="L1504" s="21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  <c r="AA1504" s="7"/>
      <c r="AB1504" s="7"/>
      <c r="AC1504" s="7"/>
      <c r="AD1504" s="7"/>
      <c r="AE1504" s="7"/>
    </row>
    <row r="1505">
      <c r="A1505" s="7"/>
      <c r="B1505" s="21"/>
      <c r="C1505" s="21"/>
      <c r="D1505" s="21"/>
      <c r="E1505" s="21"/>
      <c r="F1505" s="21"/>
      <c r="G1505" s="21"/>
      <c r="H1505" s="21"/>
      <c r="I1505" s="21"/>
      <c r="J1505" s="21"/>
      <c r="K1505" s="21"/>
      <c r="L1505" s="21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  <c r="AB1505" s="7"/>
      <c r="AC1505" s="7"/>
      <c r="AD1505" s="7"/>
      <c r="AE1505" s="7"/>
    </row>
    <row r="1506">
      <c r="A1506" s="7"/>
      <c r="B1506" s="21"/>
      <c r="C1506" s="21"/>
      <c r="D1506" s="21"/>
      <c r="E1506" s="21"/>
      <c r="F1506" s="21"/>
      <c r="G1506" s="21"/>
      <c r="H1506" s="21"/>
      <c r="I1506" s="21"/>
      <c r="J1506" s="21"/>
      <c r="K1506" s="21"/>
      <c r="L1506" s="21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  <c r="AB1506" s="7"/>
      <c r="AC1506" s="7"/>
      <c r="AD1506" s="7"/>
      <c r="AE1506" s="7"/>
    </row>
    <row r="1507">
      <c r="A1507" s="7"/>
      <c r="B1507" s="21"/>
      <c r="C1507" s="21"/>
      <c r="D1507" s="21"/>
      <c r="E1507" s="21"/>
      <c r="F1507" s="21"/>
      <c r="G1507" s="21"/>
      <c r="H1507" s="21"/>
      <c r="I1507" s="21"/>
      <c r="J1507" s="21"/>
      <c r="K1507" s="21"/>
      <c r="L1507" s="21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  <c r="AB1507" s="7"/>
      <c r="AC1507" s="7"/>
      <c r="AD1507" s="7"/>
      <c r="AE1507" s="7"/>
    </row>
    <row r="1508">
      <c r="A1508" s="7"/>
      <c r="B1508" s="21"/>
      <c r="C1508" s="21"/>
      <c r="D1508" s="21"/>
      <c r="E1508" s="21"/>
      <c r="F1508" s="21"/>
      <c r="G1508" s="21"/>
      <c r="H1508" s="21"/>
      <c r="I1508" s="21"/>
      <c r="J1508" s="21"/>
      <c r="K1508" s="21"/>
      <c r="L1508" s="21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  <c r="AB1508" s="7"/>
      <c r="AC1508" s="7"/>
      <c r="AD1508" s="7"/>
      <c r="AE1508" s="7"/>
    </row>
    <row r="1509">
      <c r="A1509" s="7"/>
      <c r="B1509" s="21"/>
      <c r="C1509" s="21"/>
      <c r="D1509" s="21"/>
      <c r="E1509" s="21"/>
      <c r="F1509" s="21"/>
      <c r="G1509" s="21"/>
      <c r="H1509" s="21"/>
      <c r="I1509" s="21"/>
      <c r="J1509" s="21"/>
      <c r="K1509" s="21"/>
      <c r="L1509" s="21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  <c r="AA1509" s="7"/>
      <c r="AB1509" s="7"/>
      <c r="AC1509" s="7"/>
      <c r="AD1509" s="7"/>
      <c r="AE1509" s="7"/>
    </row>
    <row r="1510">
      <c r="A1510" s="7"/>
      <c r="B1510" s="21"/>
      <c r="C1510" s="21"/>
      <c r="D1510" s="21"/>
      <c r="E1510" s="21"/>
      <c r="F1510" s="21"/>
      <c r="G1510" s="21"/>
      <c r="H1510" s="21"/>
      <c r="I1510" s="21"/>
      <c r="J1510" s="21"/>
      <c r="K1510" s="21"/>
      <c r="L1510" s="21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  <c r="AA1510" s="7"/>
      <c r="AB1510" s="7"/>
      <c r="AC1510" s="7"/>
      <c r="AD1510" s="7"/>
      <c r="AE1510" s="7"/>
    </row>
    <row r="1511">
      <c r="A1511" s="7"/>
      <c r="B1511" s="21"/>
      <c r="C1511" s="21"/>
      <c r="D1511" s="21"/>
      <c r="E1511" s="21"/>
      <c r="F1511" s="21"/>
      <c r="G1511" s="21"/>
      <c r="H1511" s="21"/>
      <c r="I1511" s="21"/>
      <c r="J1511" s="21"/>
      <c r="K1511" s="21"/>
      <c r="L1511" s="21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  <c r="AA1511" s="7"/>
      <c r="AB1511" s="7"/>
      <c r="AC1511" s="7"/>
      <c r="AD1511" s="7"/>
      <c r="AE1511" s="7"/>
    </row>
    <row r="1512">
      <c r="A1512" s="7"/>
      <c r="B1512" s="21"/>
      <c r="C1512" s="21"/>
      <c r="D1512" s="21"/>
      <c r="E1512" s="21"/>
      <c r="F1512" s="21"/>
      <c r="G1512" s="21"/>
      <c r="H1512" s="21"/>
      <c r="I1512" s="21"/>
      <c r="J1512" s="21"/>
      <c r="K1512" s="21"/>
      <c r="L1512" s="21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  <c r="AA1512" s="7"/>
      <c r="AB1512" s="7"/>
      <c r="AC1512" s="7"/>
      <c r="AD1512" s="7"/>
      <c r="AE1512" s="7"/>
    </row>
    <row r="1513">
      <c r="A1513" s="7"/>
      <c r="B1513" s="21"/>
      <c r="C1513" s="21"/>
      <c r="D1513" s="21"/>
      <c r="E1513" s="21"/>
      <c r="F1513" s="21"/>
      <c r="G1513" s="21"/>
      <c r="H1513" s="21"/>
      <c r="I1513" s="21"/>
      <c r="J1513" s="21"/>
      <c r="K1513" s="21"/>
      <c r="L1513" s="21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  <c r="AB1513" s="7"/>
      <c r="AC1513" s="7"/>
      <c r="AD1513" s="7"/>
      <c r="AE1513" s="7"/>
    </row>
    <row r="1514">
      <c r="A1514" s="7"/>
      <c r="B1514" s="21"/>
      <c r="C1514" s="21"/>
      <c r="D1514" s="21"/>
      <c r="E1514" s="21"/>
      <c r="F1514" s="21"/>
      <c r="G1514" s="21"/>
      <c r="H1514" s="21"/>
      <c r="I1514" s="21"/>
      <c r="J1514" s="21"/>
      <c r="K1514" s="21"/>
      <c r="L1514" s="21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  <c r="AB1514" s="7"/>
      <c r="AC1514" s="7"/>
      <c r="AD1514" s="7"/>
      <c r="AE1514" s="7"/>
    </row>
    <row r="1515">
      <c r="A1515" s="7"/>
      <c r="B1515" s="21"/>
      <c r="C1515" s="21"/>
      <c r="D1515" s="21"/>
      <c r="E1515" s="21"/>
      <c r="F1515" s="21"/>
      <c r="G1515" s="21"/>
      <c r="H1515" s="21"/>
      <c r="I1515" s="21"/>
      <c r="J1515" s="21"/>
      <c r="K1515" s="21"/>
      <c r="L1515" s="21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  <c r="AA1515" s="7"/>
      <c r="AB1515" s="7"/>
      <c r="AC1515" s="7"/>
      <c r="AD1515" s="7"/>
      <c r="AE1515" s="7"/>
    </row>
    <row r="1516">
      <c r="A1516" s="7"/>
      <c r="B1516" s="21"/>
      <c r="C1516" s="21"/>
      <c r="D1516" s="21"/>
      <c r="E1516" s="21"/>
      <c r="F1516" s="21"/>
      <c r="G1516" s="21"/>
      <c r="H1516" s="21"/>
      <c r="I1516" s="21"/>
      <c r="J1516" s="21"/>
      <c r="K1516" s="21"/>
      <c r="L1516" s="21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  <c r="AA1516" s="7"/>
      <c r="AB1516" s="7"/>
      <c r="AC1516" s="7"/>
      <c r="AD1516" s="7"/>
      <c r="AE1516" s="7"/>
    </row>
    <row r="1517">
      <c r="A1517" s="7"/>
      <c r="B1517" s="21"/>
      <c r="C1517" s="21"/>
      <c r="D1517" s="21"/>
      <c r="E1517" s="21"/>
      <c r="F1517" s="21"/>
      <c r="G1517" s="21"/>
      <c r="H1517" s="21"/>
      <c r="I1517" s="21"/>
      <c r="J1517" s="21"/>
      <c r="K1517" s="21"/>
      <c r="L1517" s="21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  <c r="AB1517" s="7"/>
      <c r="AC1517" s="7"/>
      <c r="AD1517" s="7"/>
      <c r="AE1517" s="7"/>
    </row>
    <row r="1518">
      <c r="A1518" s="7"/>
      <c r="B1518" s="21"/>
      <c r="C1518" s="21"/>
      <c r="D1518" s="21"/>
      <c r="E1518" s="21"/>
      <c r="F1518" s="21"/>
      <c r="G1518" s="21"/>
      <c r="H1518" s="21"/>
      <c r="I1518" s="21"/>
      <c r="J1518" s="21"/>
      <c r="K1518" s="21"/>
      <c r="L1518" s="21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  <c r="AB1518" s="7"/>
      <c r="AC1518" s="7"/>
      <c r="AD1518" s="7"/>
      <c r="AE1518" s="7"/>
    </row>
    <row r="1519">
      <c r="A1519" s="7"/>
      <c r="B1519" s="21"/>
      <c r="C1519" s="21"/>
      <c r="D1519" s="21"/>
      <c r="E1519" s="21"/>
      <c r="F1519" s="21"/>
      <c r="G1519" s="21"/>
      <c r="H1519" s="21"/>
      <c r="I1519" s="21"/>
      <c r="J1519" s="21"/>
      <c r="K1519" s="21"/>
      <c r="L1519" s="21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  <c r="AB1519" s="7"/>
      <c r="AC1519" s="7"/>
      <c r="AD1519" s="7"/>
      <c r="AE1519" s="7"/>
    </row>
    <row r="1520">
      <c r="A1520" s="7"/>
      <c r="B1520" s="21"/>
      <c r="C1520" s="21"/>
      <c r="D1520" s="21"/>
      <c r="E1520" s="21"/>
      <c r="F1520" s="21"/>
      <c r="G1520" s="21"/>
      <c r="H1520" s="21"/>
      <c r="I1520" s="21"/>
      <c r="J1520" s="21"/>
      <c r="K1520" s="21"/>
      <c r="L1520" s="21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  <c r="AB1520" s="7"/>
      <c r="AC1520" s="7"/>
      <c r="AD1520" s="7"/>
      <c r="AE1520" s="7"/>
    </row>
    <row r="1521">
      <c r="A1521" s="7"/>
      <c r="B1521" s="21"/>
      <c r="C1521" s="21"/>
      <c r="D1521" s="21"/>
      <c r="E1521" s="21"/>
      <c r="F1521" s="21"/>
      <c r="G1521" s="21"/>
      <c r="H1521" s="21"/>
      <c r="I1521" s="21"/>
      <c r="J1521" s="21"/>
      <c r="K1521" s="21"/>
      <c r="L1521" s="21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  <c r="AA1521" s="7"/>
      <c r="AB1521" s="7"/>
      <c r="AC1521" s="7"/>
      <c r="AD1521" s="7"/>
      <c r="AE1521" s="7"/>
    </row>
    <row r="1522">
      <c r="A1522" s="7"/>
      <c r="B1522" s="21"/>
      <c r="C1522" s="21"/>
      <c r="D1522" s="21"/>
      <c r="E1522" s="21"/>
      <c r="F1522" s="21"/>
      <c r="G1522" s="21"/>
      <c r="H1522" s="21"/>
      <c r="I1522" s="21"/>
      <c r="J1522" s="21"/>
      <c r="K1522" s="21"/>
      <c r="L1522" s="21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  <c r="AA1522" s="7"/>
      <c r="AB1522" s="7"/>
      <c r="AC1522" s="7"/>
      <c r="AD1522" s="7"/>
      <c r="AE1522" s="7"/>
    </row>
    <row r="1523">
      <c r="A1523" s="7"/>
      <c r="B1523" s="21"/>
      <c r="C1523" s="21"/>
      <c r="D1523" s="21"/>
      <c r="E1523" s="21"/>
      <c r="F1523" s="21"/>
      <c r="G1523" s="21"/>
      <c r="H1523" s="21"/>
      <c r="I1523" s="21"/>
      <c r="J1523" s="21"/>
      <c r="K1523" s="21"/>
      <c r="L1523" s="21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AB1523" s="7"/>
      <c r="AC1523" s="7"/>
      <c r="AD1523" s="7"/>
      <c r="AE1523" s="7"/>
    </row>
    <row r="1524">
      <c r="A1524" s="7"/>
      <c r="B1524" s="21"/>
      <c r="C1524" s="21"/>
      <c r="D1524" s="21"/>
      <c r="E1524" s="21"/>
      <c r="F1524" s="21"/>
      <c r="G1524" s="21"/>
      <c r="H1524" s="21"/>
      <c r="I1524" s="21"/>
      <c r="J1524" s="21"/>
      <c r="K1524" s="21"/>
      <c r="L1524" s="21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  <c r="AB1524" s="7"/>
      <c r="AC1524" s="7"/>
      <c r="AD1524" s="7"/>
      <c r="AE1524" s="7"/>
    </row>
    <row r="1525">
      <c r="A1525" s="7"/>
      <c r="B1525" s="21"/>
      <c r="C1525" s="21"/>
      <c r="D1525" s="21"/>
      <c r="E1525" s="21"/>
      <c r="F1525" s="21"/>
      <c r="G1525" s="21"/>
      <c r="H1525" s="21"/>
      <c r="I1525" s="21"/>
      <c r="J1525" s="21"/>
      <c r="K1525" s="21"/>
      <c r="L1525" s="21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  <c r="AB1525" s="7"/>
      <c r="AC1525" s="7"/>
      <c r="AD1525" s="7"/>
      <c r="AE1525" s="7"/>
    </row>
    <row r="1526">
      <c r="A1526" s="7"/>
      <c r="B1526" s="21"/>
      <c r="C1526" s="21"/>
      <c r="D1526" s="21"/>
      <c r="E1526" s="21"/>
      <c r="F1526" s="21"/>
      <c r="G1526" s="21"/>
      <c r="H1526" s="21"/>
      <c r="I1526" s="21"/>
      <c r="J1526" s="21"/>
      <c r="K1526" s="21"/>
      <c r="L1526" s="21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  <c r="AA1526" s="7"/>
      <c r="AB1526" s="7"/>
      <c r="AC1526" s="7"/>
      <c r="AD1526" s="7"/>
      <c r="AE1526" s="7"/>
    </row>
    <row r="1527">
      <c r="A1527" s="7"/>
      <c r="B1527" s="21"/>
      <c r="C1527" s="21"/>
      <c r="D1527" s="21"/>
      <c r="E1527" s="21"/>
      <c r="F1527" s="21"/>
      <c r="G1527" s="21"/>
      <c r="H1527" s="21"/>
      <c r="I1527" s="21"/>
      <c r="J1527" s="21"/>
      <c r="K1527" s="21"/>
      <c r="L1527" s="21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  <c r="AA1527" s="7"/>
      <c r="AB1527" s="7"/>
      <c r="AC1527" s="7"/>
      <c r="AD1527" s="7"/>
      <c r="AE1527" s="7"/>
    </row>
    <row r="1528">
      <c r="A1528" s="7"/>
      <c r="B1528" s="21"/>
      <c r="C1528" s="21"/>
      <c r="D1528" s="21"/>
      <c r="E1528" s="21"/>
      <c r="F1528" s="21"/>
      <c r="G1528" s="21"/>
      <c r="H1528" s="21"/>
      <c r="I1528" s="21"/>
      <c r="J1528" s="21"/>
      <c r="K1528" s="21"/>
      <c r="L1528" s="21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  <c r="AA1528" s="7"/>
      <c r="AB1528" s="7"/>
      <c r="AC1528" s="7"/>
      <c r="AD1528" s="7"/>
      <c r="AE1528" s="7"/>
    </row>
    <row r="1529">
      <c r="A1529" s="7"/>
      <c r="B1529" s="21"/>
      <c r="C1529" s="21"/>
      <c r="D1529" s="21"/>
      <c r="E1529" s="21"/>
      <c r="F1529" s="21"/>
      <c r="G1529" s="21"/>
      <c r="H1529" s="21"/>
      <c r="I1529" s="21"/>
      <c r="J1529" s="21"/>
      <c r="K1529" s="21"/>
      <c r="L1529" s="21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  <c r="AB1529" s="7"/>
      <c r="AC1529" s="7"/>
      <c r="AD1529" s="7"/>
      <c r="AE1529" s="7"/>
    </row>
    <row r="1530">
      <c r="A1530" s="7"/>
      <c r="B1530" s="21"/>
      <c r="C1530" s="21"/>
      <c r="D1530" s="21"/>
      <c r="E1530" s="21"/>
      <c r="F1530" s="21"/>
      <c r="G1530" s="21"/>
      <c r="H1530" s="21"/>
      <c r="I1530" s="21"/>
      <c r="J1530" s="21"/>
      <c r="K1530" s="21"/>
      <c r="L1530" s="21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AB1530" s="7"/>
      <c r="AC1530" s="7"/>
      <c r="AD1530" s="7"/>
      <c r="AE1530" s="7"/>
    </row>
    <row r="1531">
      <c r="A1531" s="7"/>
      <c r="B1531" s="21"/>
      <c r="C1531" s="21"/>
      <c r="D1531" s="21"/>
      <c r="E1531" s="21"/>
      <c r="F1531" s="21"/>
      <c r="G1531" s="21"/>
      <c r="H1531" s="21"/>
      <c r="I1531" s="21"/>
      <c r="J1531" s="21"/>
      <c r="K1531" s="21"/>
      <c r="L1531" s="21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AB1531" s="7"/>
      <c r="AC1531" s="7"/>
      <c r="AD1531" s="7"/>
      <c r="AE1531" s="7"/>
    </row>
    <row r="1532">
      <c r="A1532" s="7"/>
      <c r="B1532" s="21"/>
      <c r="C1532" s="21"/>
      <c r="D1532" s="21"/>
      <c r="E1532" s="21"/>
      <c r="F1532" s="21"/>
      <c r="G1532" s="21"/>
      <c r="H1532" s="21"/>
      <c r="I1532" s="21"/>
      <c r="J1532" s="21"/>
      <c r="K1532" s="21"/>
      <c r="L1532" s="21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AB1532" s="7"/>
      <c r="AC1532" s="7"/>
      <c r="AD1532" s="7"/>
      <c r="AE1532" s="7"/>
    </row>
    <row r="1533">
      <c r="A1533" s="7"/>
      <c r="B1533" s="21"/>
      <c r="C1533" s="21"/>
      <c r="D1533" s="21"/>
      <c r="E1533" s="21"/>
      <c r="F1533" s="21"/>
      <c r="G1533" s="21"/>
      <c r="H1533" s="21"/>
      <c r="I1533" s="21"/>
      <c r="J1533" s="21"/>
      <c r="K1533" s="21"/>
      <c r="L1533" s="21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  <c r="AB1533" s="7"/>
      <c r="AC1533" s="7"/>
      <c r="AD1533" s="7"/>
      <c r="AE1533" s="7"/>
    </row>
    <row r="1534">
      <c r="A1534" s="7"/>
      <c r="B1534" s="21"/>
      <c r="C1534" s="21"/>
      <c r="D1534" s="21"/>
      <c r="E1534" s="21"/>
      <c r="F1534" s="21"/>
      <c r="G1534" s="21"/>
      <c r="H1534" s="21"/>
      <c r="I1534" s="21"/>
      <c r="J1534" s="21"/>
      <c r="K1534" s="21"/>
      <c r="L1534" s="21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  <c r="AB1534" s="7"/>
      <c r="AC1534" s="7"/>
      <c r="AD1534" s="7"/>
      <c r="AE1534" s="7"/>
    </row>
    <row r="1535">
      <c r="A1535" s="7"/>
      <c r="B1535" s="21"/>
      <c r="C1535" s="21"/>
      <c r="D1535" s="21"/>
      <c r="E1535" s="21"/>
      <c r="F1535" s="21"/>
      <c r="G1535" s="21"/>
      <c r="H1535" s="21"/>
      <c r="I1535" s="21"/>
      <c r="J1535" s="21"/>
      <c r="K1535" s="21"/>
      <c r="L1535" s="21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  <c r="AB1535" s="7"/>
      <c r="AC1535" s="7"/>
      <c r="AD1535" s="7"/>
      <c r="AE1535" s="7"/>
    </row>
    <row r="1536">
      <c r="A1536" s="7"/>
      <c r="B1536" s="21"/>
      <c r="C1536" s="21"/>
      <c r="D1536" s="21"/>
      <c r="E1536" s="21"/>
      <c r="F1536" s="21"/>
      <c r="G1536" s="21"/>
      <c r="H1536" s="21"/>
      <c r="I1536" s="21"/>
      <c r="J1536" s="21"/>
      <c r="K1536" s="21"/>
      <c r="L1536" s="21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  <c r="AB1536" s="7"/>
      <c r="AC1536" s="7"/>
      <c r="AD1536" s="7"/>
      <c r="AE1536" s="7"/>
    </row>
    <row r="1537">
      <c r="A1537" s="7"/>
      <c r="B1537" s="21"/>
      <c r="C1537" s="21"/>
      <c r="D1537" s="21"/>
      <c r="E1537" s="21"/>
      <c r="F1537" s="21"/>
      <c r="G1537" s="21"/>
      <c r="H1537" s="21"/>
      <c r="I1537" s="21"/>
      <c r="J1537" s="21"/>
      <c r="K1537" s="21"/>
      <c r="L1537" s="21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7"/>
      <c r="AC1537" s="7"/>
      <c r="AD1537" s="7"/>
      <c r="AE1537" s="7"/>
    </row>
    <row r="1538">
      <c r="A1538" s="7"/>
      <c r="B1538" s="21"/>
      <c r="C1538" s="21"/>
      <c r="D1538" s="21"/>
      <c r="E1538" s="21"/>
      <c r="F1538" s="21"/>
      <c r="G1538" s="21"/>
      <c r="H1538" s="21"/>
      <c r="I1538" s="21"/>
      <c r="J1538" s="21"/>
      <c r="K1538" s="21"/>
      <c r="L1538" s="21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  <c r="AB1538" s="7"/>
      <c r="AC1538" s="7"/>
      <c r="AD1538" s="7"/>
      <c r="AE1538" s="7"/>
    </row>
    <row r="1539">
      <c r="A1539" s="7"/>
      <c r="B1539" s="21"/>
      <c r="C1539" s="21"/>
      <c r="D1539" s="21"/>
      <c r="E1539" s="21"/>
      <c r="F1539" s="21"/>
      <c r="G1539" s="21"/>
      <c r="H1539" s="21"/>
      <c r="I1539" s="21"/>
      <c r="J1539" s="21"/>
      <c r="K1539" s="21"/>
      <c r="L1539" s="21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  <c r="AB1539" s="7"/>
      <c r="AC1539" s="7"/>
      <c r="AD1539" s="7"/>
      <c r="AE1539" s="7"/>
    </row>
    <row r="1540">
      <c r="A1540" s="7"/>
      <c r="B1540" s="21"/>
      <c r="C1540" s="21"/>
      <c r="D1540" s="21"/>
      <c r="E1540" s="21"/>
      <c r="F1540" s="21"/>
      <c r="G1540" s="21"/>
      <c r="H1540" s="21"/>
      <c r="I1540" s="21"/>
      <c r="J1540" s="21"/>
      <c r="K1540" s="21"/>
      <c r="L1540" s="21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  <c r="AB1540" s="7"/>
      <c r="AC1540" s="7"/>
      <c r="AD1540" s="7"/>
      <c r="AE1540" s="7"/>
    </row>
    <row r="1541">
      <c r="A1541" s="7"/>
      <c r="B1541" s="21"/>
      <c r="C1541" s="21"/>
      <c r="D1541" s="21"/>
      <c r="E1541" s="21"/>
      <c r="F1541" s="21"/>
      <c r="G1541" s="21"/>
      <c r="H1541" s="21"/>
      <c r="I1541" s="21"/>
      <c r="J1541" s="21"/>
      <c r="K1541" s="21"/>
      <c r="L1541" s="21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AB1541" s="7"/>
      <c r="AC1541" s="7"/>
      <c r="AD1541" s="7"/>
      <c r="AE1541" s="7"/>
    </row>
    <row r="1542">
      <c r="A1542" s="7"/>
      <c r="B1542" s="21"/>
      <c r="C1542" s="21"/>
      <c r="D1542" s="21"/>
      <c r="E1542" s="21"/>
      <c r="F1542" s="21"/>
      <c r="G1542" s="21"/>
      <c r="H1542" s="21"/>
      <c r="I1542" s="21"/>
      <c r="J1542" s="21"/>
      <c r="K1542" s="21"/>
      <c r="L1542" s="21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7"/>
      <c r="AC1542" s="7"/>
      <c r="AD1542" s="7"/>
      <c r="AE1542" s="7"/>
    </row>
    <row r="1543">
      <c r="A1543" s="7"/>
      <c r="B1543" s="21"/>
      <c r="C1543" s="21"/>
      <c r="D1543" s="21"/>
      <c r="E1543" s="21"/>
      <c r="F1543" s="21"/>
      <c r="G1543" s="21"/>
      <c r="H1543" s="21"/>
      <c r="I1543" s="21"/>
      <c r="J1543" s="21"/>
      <c r="K1543" s="21"/>
      <c r="L1543" s="21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AB1543" s="7"/>
      <c r="AC1543" s="7"/>
      <c r="AD1543" s="7"/>
      <c r="AE1543" s="7"/>
    </row>
    <row r="1544">
      <c r="A1544" s="7"/>
      <c r="B1544" s="21"/>
      <c r="C1544" s="21"/>
      <c r="D1544" s="21"/>
      <c r="E1544" s="21"/>
      <c r="F1544" s="21"/>
      <c r="G1544" s="21"/>
      <c r="H1544" s="21"/>
      <c r="I1544" s="21"/>
      <c r="J1544" s="21"/>
      <c r="K1544" s="21"/>
      <c r="L1544" s="21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7"/>
      <c r="AC1544" s="7"/>
      <c r="AD1544" s="7"/>
      <c r="AE1544" s="7"/>
    </row>
    <row r="1545">
      <c r="A1545" s="7"/>
      <c r="B1545" s="21"/>
      <c r="C1545" s="21"/>
      <c r="D1545" s="21"/>
      <c r="E1545" s="21"/>
      <c r="F1545" s="21"/>
      <c r="G1545" s="21"/>
      <c r="H1545" s="21"/>
      <c r="I1545" s="21"/>
      <c r="J1545" s="21"/>
      <c r="K1545" s="21"/>
      <c r="L1545" s="21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AB1545" s="7"/>
      <c r="AC1545" s="7"/>
      <c r="AD1545" s="7"/>
      <c r="AE1545" s="7"/>
    </row>
    <row r="1546">
      <c r="A1546" s="7"/>
      <c r="B1546" s="21"/>
      <c r="C1546" s="21"/>
      <c r="D1546" s="21"/>
      <c r="E1546" s="21"/>
      <c r="F1546" s="21"/>
      <c r="G1546" s="21"/>
      <c r="H1546" s="21"/>
      <c r="I1546" s="21"/>
      <c r="J1546" s="21"/>
      <c r="K1546" s="21"/>
      <c r="L1546" s="21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  <c r="AA1546" s="7"/>
      <c r="AB1546" s="7"/>
      <c r="AC1546" s="7"/>
      <c r="AD1546" s="7"/>
      <c r="AE1546" s="7"/>
    </row>
    <row r="1547">
      <c r="A1547" s="7"/>
      <c r="B1547" s="21"/>
      <c r="C1547" s="21"/>
      <c r="D1547" s="21"/>
      <c r="E1547" s="21"/>
      <c r="F1547" s="21"/>
      <c r="G1547" s="21"/>
      <c r="H1547" s="21"/>
      <c r="I1547" s="21"/>
      <c r="J1547" s="21"/>
      <c r="K1547" s="21"/>
      <c r="L1547" s="21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AB1547" s="7"/>
      <c r="AC1547" s="7"/>
      <c r="AD1547" s="7"/>
      <c r="AE1547" s="7"/>
    </row>
    <row r="1548">
      <c r="A1548" s="7"/>
      <c r="B1548" s="21"/>
      <c r="C1548" s="21"/>
      <c r="D1548" s="21"/>
      <c r="E1548" s="21"/>
      <c r="F1548" s="21"/>
      <c r="G1548" s="21"/>
      <c r="H1548" s="21"/>
      <c r="I1548" s="21"/>
      <c r="J1548" s="21"/>
      <c r="K1548" s="21"/>
      <c r="L1548" s="21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/>
      <c r="AC1548" s="7"/>
      <c r="AD1548" s="7"/>
      <c r="AE1548" s="7"/>
    </row>
    <row r="1549">
      <c r="A1549" s="7"/>
      <c r="B1549" s="21"/>
      <c r="C1549" s="21"/>
      <c r="D1549" s="21"/>
      <c r="E1549" s="21"/>
      <c r="F1549" s="21"/>
      <c r="G1549" s="21"/>
      <c r="H1549" s="21"/>
      <c r="I1549" s="21"/>
      <c r="J1549" s="21"/>
      <c r="K1549" s="21"/>
      <c r="L1549" s="21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7"/>
      <c r="AC1549" s="7"/>
      <c r="AD1549" s="7"/>
      <c r="AE1549" s="7"/>
    </row>
    <row r="1550">
      <c r="A1550" s="7"/>
      <c r="B1550" s="21"/>
      <c r="C1550" s="21"/>
      <c r="D1550" s="21"/>
      <c r="E1550" s="21"/>
      <c r="F1550" s="21"/>
      <c r="G1550" s="21"/>
      <c r="H1550" s="21"/>
      <c r="I1550" s="21"/>
      <c r="J1550" s="21"/>
      <c r="K1550" s="21"/>
      <c r="L1550" s="21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  <c r="AB1550" s="7"/>
      <c r="AC1550" s="7"/>
      <c r="AD1550" s="7"/>
      <c r="AE1550" s="7"/>
    </row>
    <row r="1551">
      <c r="A1551" s="7"/>
      <c r="B1551" s="21"/>
      <c r="C1551" s="21"/>
      <c r="D1551" s="21"/>
      <c r="E1551" s="21"/>
      <c r="F1551" s="21"/>
      <c r="G1551" s="21"/>
      <c r="H1551" s="21"/>
      <c r="I1551" s="21"/>
      <c r="J1551" s="21"/>
      <c r="K1551" s="21"/>
      <c r="L1551" s="21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  <c r="AA1551" s="7"/>
      <c r="AB1551" s="7"/>
      <c r="AC1551" s="7"/>
      <c r="AD1551" s="7"/>
      <c r="AE1551" s="7"/>
    </row>
    <row r="1552">
      <c r="A1552" s="7"/>
      <c r="B1552" s="21"/>
      <c r="C1552" s="21"/>
      <c r="D1552" s="21"/>
      <c r="E1552" s="21"/>
      <c r="F1552" s="21"/>
      <c r="G1552" s="21"/>
      <c r="H1552" s="21"/>
      <c r="I1552" s="21"/>
      <c r="J1552" s="21"/>
      <c r="K1552" s="21"/>
      <c r="L1552" s="21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  <c r="AB1552" s="7"/>
      <c r="AC1552" s="7"/>
      <c r="AD1552" s="7"/>
      <c r="AE1552" s="7"/>
    </row>
    <row r="1553">
      <c r="A1553" s="7"/>
      <c r="B1553" s="21"/>
      <c r="C1553" s="21"/>
      <c r="D1553" s="21"/>
      <c r="E1553" s="21"/>
      <c r="F1553" s="21"/>
      <c r="G1553" s="21"/>
      <c r="H1553" s="21"/>
      <c r="I1553" s="21"/>
      <c r="J1553" s="21"/>
      <c r="K1553" s="21"/>
      <c r="L1553" s="21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  <c r="AB1553" s="7"/>
      <c r="AC1553" s="7"/>
      <c r="AD1553" s="7"/>
      <c r="AE1553" s="7"/>
    </row>
    <row r="1554">
      <c r="A1554" s="7"/>
      <c r="B1554" s="21"/>
      <c r="C1554" s="21"/>
      <c r="D1554" s="21"/>
      <c r="E1554" s="21"/>
      <c r="F1554" s="21"/>
      <c r="G1554" s="21"/>
      <c r="H1554" s="21"/>
      <c r="I1554" s="21"/>
      <c r="J1554" s="21"/>
      <c r="K1554" s="21"/>
      <c r="L1554" s="21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  <c r="AB1554" s="7"/>
      <c r="AC1554" s="7"/>
      <c r="AD1554" s="7"/>
      <c r="AE1554" s="7"/>
    </row>
    <row r="1555">
      <c r="A1555" s="7"/>
      <c r="B1555" s="21"/>
      <c r="C1555" s="21"/>
      <c r="D1555" s="21"/>
      <c r="E1555" s="21"/>
      <c r="F1555" s="21"/>
      <c r="G1555" s="21"/>
      <c r="H1555" s="21"/>
      <c r="I1555" s="21"/>
      <c r="J1555" s="21"/>
      <c r="K1555" s="21"/>
      <c r="L1555" s="21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  <c r="AA1555" s="7"/>
      <c r="AB1555" s="7"/>
      <c r="AC1555" s="7"/>
      <c r="AD1555" s="7"/>
      <c r="AE1555" s="7"/>
    </row>
    <row r="1556">
      <c r="A1556" s="7"/>
      <c r="B1556" s="21"/>
      <c r="C1556" s="21"/>
      <c r="D1556" s="21"/>
      <c r="E1556" s="21"/>
      <c r="F1556" s="21"/>
      <c r="G1556" s="21"/>
      <c r="H1556" s="21"/>
      <c r="I1556" s="21"/>
      <c r="J1556" s="21"/>
      <c r="K1556" s="21"/>
      <c r="L1556" s="21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  <c r="AA1556" s="7"/>
      <c r="AB1556" s="7"/>
      <c r="AC1556" s="7"/>
      <c r="AD1556" s="7"/>
      <c r="AE1556" s="7"/>
    </row>
    <row r="1557">
      <c r="A1557" s="7"/>
      <c r="B1557" s="21"/>
      <c r="C1557" s="21"/>
      <c r="D1557" s="21"/>
      <c r="E1557" s="21"/>
      <c r="F1557" s="21"/>
      <c r="G1557" s="21"/>
      <c r="H1557" s="21"/>
      <c r="I1557" s="21"/>
      <c r="J1557" s="21"/>
      <c r="K1557" s="21"/>
      <c r="L1557" s="21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  <c r="AA1557" s="7"/>
      <c r="AB1557" s="7"/>
      <c r="AC1557" s="7"/>
      <c r="AD1557" s="7"/>
      <c r="AE1557" s="7"/>
    </row>
    <row r="1558">
      <c r="A1558" s="7"/>
      <c r="B1558" s="21"/>
      <c r="C1558" s="21"/>
      <c r="D1558" s="21"/>
      <c r="E1558" s="21"/>
      <c r="F1558" s="21"/>
      <c r="G1558" s="21"/>
      <c r="H1558" s="21"/>
      <c r="I1558" s="21"/>
      <c r="J1558" s="21"/>
      <c r="K1558" s="21"/>
      <c r="L1558" s="21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  <c r="AA1558" s="7"/>
      <c r="AB1558" s="7"/>
      <c r="AC1558" s="7"/>
      <c r="AD1558" s="7"/>
      <c r="AE1558" s="7"/>
    </row>
    <row r="1559">
      <c r="A1559" s="7"/>
      <c r="B1559" s="21"/>
      <c r="C1559" s="21"/>
      <c r="D1559" s="21"/>
      <c r="E1559" s="21"/>
      <c r="F1559" s="21"/>
      <c r="G1559" s="21"/>
      <c r="H1559" s="21"/>
      <c r="I1559" s="21"/>
      <c r="J1559" s="21"/>
      <c r="K1559" s="21"/>
      <c r="L1559" s="21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  <c r="AA1559" s="7"/>
      <c r="AB1559" s="7"/>
      <c r="AC1559" s="7"/>
      <c r="AD1559" s="7"/>
      <c r="AE1559" s="7"/>
    </row>
    <row r="1560">
      <c r="A1560" s="7"/>
      <c r="B1560" s="21"/>
      <c r="C1560" s="21"/>
      <c r="D1560" s="21"/>
      <c r="E1560" s="21"/>
      <c r="F1560" s="21"/>
      <c r="G1560" s="21"/>
      <c r="H1560" s="21"/>
      <c r="I1560" s="21"/>
      <c r="J1560" s="21"/>
      <c r="K1560" s="21"/>
      <c r="L1560" s="21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  <c r="AA1560" s="7"/>
      <c r="AB1560" s="7"/>
      <c r="AC1560" s="7"/>
      <c r="AD1560" s="7"/>
      <c r="AE1560" s="7"/>
    </row>
    <row r="1561">
      <c r="A1561" s="7"/>
      <c r="B1561" s="21"/>
      <c r="C1561" s="21"/>
      <c r="D1561" s="21"/>
      <c r="E1561" s="21"/>
      <c r="F1561" s="21"/>
      <c r="G1561" s="21"/>
      <c r="H1561" s="21"/>
      <c r="I1561" s="21"/>
      <c r="J1561" s="21"/>
      <c r="K1561" s="21"/>
      <c r="L1561" s="21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  <c r="AB1561" s="7"/>
      <c r="AC1561" s="7"/>
      <c r="AD1561" s="7"/>
      <c r="AE1561" s="7"/>
    </row>
    <row r="1562">
      <c r="A1562" s="7"/>
      <c r="B1562" s="21"/>
      <c r="C1562" s="21"/>
      <c r="D1562" s="21"/>
      <c r="E1562" s="21"/>
      <c r="F1562" s="21"/>
      <c r="G1562" s="21"/>
      <c r="H1562" s="21"/>
      <c r="I1562" s="21"/>
      <c r="J1562" s="21"/>
      <c r="K1562" s="21"/>
      <c r="L1562" s="21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  <c r="AB1562" s="7"/>
      <c r="AC1562" s="7"/>
      <c r="AD1562" s="7"/>
      <c r="AE1562" s="7"/>
    </row>
    <row r="1563">
      <c r="A1563" s="7"/>
      <c r="B1563" s="21"/>
      <c r="C1563" s="21"/>
      <c r="D1563" s="21"/>
      <c r="E1563" s="21"/>
      <c r="F1563" s="21"/>
      <c r="G1563" s="21"/>
      <c r="H1563" s="21"/>
      <c r="I1563" s="21"/>
      <c r="J1563" s="21"/>
      <c r="K1563" s="21"/>
      <c r="L1563" s="21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  <c r="AA1563" s="7"/>
      <c r="AB1563" s="7"/>
      <c r="AC1563" s="7"/>
      <c r="AD1563" s="7"/>
      <c r="AE1563" s="7"/>
    </row>
    <row r="1564">
      <c r="A1564" s="7"/>
      <c r="B1564" s="21"/>
      <c r="C1564" s="21"/>
      <c r="D1564" s="21"/>
      <c r="E1564" s="21"/>
      <c r="F1564" s="21"/>
      <c r="G1564" s="21"/>
      <c r="H1564" s="21"/>
      <c r="I1564" s="21"/>
      <c r="J1564" s="21"/>
      <c r="K1564" s="21"/>
      <c r="L1564" s="21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  <c r="AA1564" s="7"/>
      <c r="AB1564" s="7"/>
      <c r="AC1564" s="7"/>
      <c r="AD1564" s="7"/>
      <c r="AE1564" s="7"/>
    </row>
    <row r="1565">
      <c r="A1565" s="7"/>
      <c r="B1565" s="21"/>
      <c r="C1565" s="21"/>
      <c r="D1565" s="21"/>
      <c r="E1565" s="21"/>
      <c r="F1565" s="21"/>
      <c r="G1565" s="21"/>
      <c r="H1565" s="21"/>
      <c r="I1565" s="21"/>
      <c r="J1565" s="21"/>
      <c r="K1565" s="21"/>
      <c r="L1565" s="21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  <c r="AA1565" s="7"/>
      <c r="AB1565" s="7"/>
      <c r="AC1565" s="7"/>
      <c r="AD1565" s="7"/>
      <c r="AE1565" s="7"/>
    </row>
    <row r="1566">
      <c r="A1566" s="7"/>
      <c r="B1566" s="21"/>
      <c r="C1566" s="21"/>
      <c r="D1566" s="21"/>
      <c r="E1566" s="21"/>
      <c r="F1566" s="21"/>
      <c r="G1566" s="21"/>
      <c r="H1566" s="21"/>
      <c r="I1566" s="21"/>
      <c r="J1566" s="21"/>
      <c r="K1566" s="21"/>
      <c r="L1566" s="21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  <c r="AA1566" s="7"/>
      <c r="AB1566" s="7"/>
      <c r="AC1566" s="7"/>
      <c r="AD1566" s="7"/>
      <c r="AE1566" s="7"/>
    </row>
    <row r="1567">
      <c r="A1567" s="7"/>
      <c r="B1567" s="21"/>
      <c r="C1567" s="21"/>
      <c r="D1567" s="21"/>
      <c r="E1567" s="21"/>
      <c r="F1567" s="21"/>
      <c r="G1567" s="21"/>
      <c r="H1567" s="21"/>
      <c r="I1567" s="21"/>
      <c r="J1567" s="21"/>
      <c r="K1567" s="21"/>
      <c r="L1567" s="21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  <c r="AA1567" s="7"/>
      <c r="AB1567" s="7"/>
      <c r="AC1567" s="7"/>
      <c r="AD1567" s="7"/>
      <c r="AE1567" s="7"/>
    </row>
    <row r="1568">
      <c r="A1568" s="7"/>
      <c r="B1568" s="21"/>
      <c r="C1568" s="21"/>
      <c r="D1568" s="21"/>
      <c r="E1568" s="21"/>
      <c r="F1568" s="21"/>
      <c r="G1568" s="21"/>
      <c r="H1568" s="21"/>
      <c r="I1568" s="21"/>
      <c r="J1568" s="21"/>
      <c r="K1568" s="21"/>
      <c r="L1568" s="21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7"/>
      <c r="AB1568" s="7"/>
      <c r="AC1568" s="7"/>
      <c r="AD1568" s="7"/>
      <c r="AE1568" s="7"/>
    </row>
    <row r="1569">
      <c r="A1569" s="7"/>
      <c r="B1569" s="21"/>
      <c r="C1569" s="21"/>
      <c r="D1569" s="21"/>
      <c r="E1569" s="21"/>
      <c r="F1569" s="21"/>
      <c r="G1569" s="21"/>
      <c r="H1569" s="21"/>
      <c r="I1569" s="21"/>
      <c r="J1569" s="21"/>
      <c r="K1569" s="21"/>
      <c r="L1569" s="21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  <c r="AA1569" s="7"/>
      <c r="AB1569" s="7"/>
      <c r="AC1569" s="7"/>
      <c r="AD1569" s="7"/>
      <c r="AE1569" s="7"/>
    </row>
    <row r="1570">
      <c r="A1570" s="7"/>
      <c r="B1570" s="21"/>
      <c r="C1570" s="21"/>
      <c r="D1570" s="21"/>
      <c r="E1570" s="21"/>
      <c r="F1570" s="21"/>
      <c r="G1570" s="21"/>
      <c r="H1570" s="21"/>
      <c r="I1570" s="21"/>
      <c r="J1570" s="21"/>
      <c r="K1570" s="21"/>
      <c r="L1570" s="21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  <c r="AA1570" s="7"/>
      <c r="AB1570" s="7"/>
      <c r="AC1570" s="7"/>
      <c r="AD1570" s="7"/>
      <c r="AE1570" s="7"/>
    </row>
    <row r="1571">
      <c r="A1571" s="7"/>
      <c r="B1571" s="21"/>
      <c r="C1571" s="21"/>
      <c r="D1571" s="21"/>
      <c r="E1571" s="21"/>
      <c r="F1571" s="21"/>
      <c r="G1571" s="21"/>
      <c r="H1571" s="21"/>
      <c r="I1571" s="21"/>
      <c r="J1571" s="21"/>
      <c r="K1571" s="21"/>
      <c r="L1571" s="21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  <c r="AA1571" s="7"/>
      <c r="AB1571" s="7"/>
      <c r="AC1571" s="7"/>
      <c r="AD1571" s="7"/>
      <c r="AE1571" s="7"/>
    </row>
    <row r="1572">
      <c r="A1572" s="7"/>
      <c r="B1572" s="21"/>
      <c r="C1572" s="21"/>
      <c r="D1572" s="21"/>
      <c r="E1572" s="21"/>
      <c r="F1572" s="21"/>
      <c r="G1572" s="21"/>
      <c r="H1572" s="21"/>
      <c r="I1572" s="21"/>
      <c r="J1572" s="21"/>
      <c r="K1572" s="21"/>
      <c r="L1572" s="21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  <c r="AA1572" s="7"/>
      <c r="AB1572" s="7"/>
      <c r="AC1572" s="7"/>
      <c r="AD1572" s="7"/>
      <c r="AE1572" s="7"/>
    </row>
    <row r="1573">
      <c r="A1573" s="7"/>
      <c r="B1573" s="21"/>
      <c r="C1573" s="21"/>
      <c r="D1573" s="21"/>
      <c r="E1573" s="21"/>
      <c r="F1573" s="21"/>
      <c r="G1573" s="21"/>
      <c r="H1573" s="21"/>
      <c r="I1573" s="21"/>
      <c r="J1573" s="21"/>
      <c r="K1573" s="21"/>
      <c r="L1573" s="21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  <c r="AA1573" s="7"/>
      <c r="AB1573" s="7"/>
      <c r="AC1573" s="7"/>
      <c r="AD1573" s="7"/>
      <c r="AE1573" s="7"/>
    </row>
    <row r="1574">
      <c r="A1574" s="7"/>
      <c r="B1574" s="21"/>
      <c r="C1574" s="21"/>
      <c r="D1574" s="21"/>
      <c r="E1574" s="21"/>
      <c r="F1574" s="21"/>
      <c r="G1574" s="21"/>
      <c r="H1574" s="21"/>
      <c r="I1574" s="21"/>
      <c r="J1574" s="21"/>
      <c r="K1574" s="21"/>
      <c r="L1574" s="21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  <c r="AA1574" s="7"/>
      <c r="AB1574" s="7"/>
      <c r="AC1574" s="7"/>
      <c r="AD1574" s="7"/>
      <c r="AE1574" s="7"/>
    </row>
    <row r="1575">
      <c r="A1575" s="7"/>
      <c r="B1575" s="21"/>
      <c r="C1575" s="21"/>
      <c r="D1575" s="21"/>
      <c r="E1575" s="21"/>
      <c r="F1575" s="21"/>
      <c r="G1575" s="21"/>
      <c r="H1575" s="21"/>
      <c r="I1575" s="21"/>
      <c r="J1575" s="21"/>
      <c r="K1575" s="21"/>
      <c r="L1575" s="21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  <c r="AA1575" s="7"/>
      <c r="AB1575" s="7"/>
      <c r="AC1575" s="7"/>
      <c r="AD1575" s="7"/>
      <c r="AE1575" s="7"/>
    </row>
    <row r="1576">
      <c r="A1576" s="7"/>
      <c r="B1576" s="21"/>
      <c r="C1576" s="21"/>
      <c r="D1576" s="21"/>
      <c r="E1576" s="21"/>
      <c r="F1576" s="21"/>
      <c r="G1576" s="21"/>
      <c r="H1576" s="21"/>
      <c r="I1576" s="21"/>
      <c r="J1576" s="21"/>
      <c r="K1576" s="21"/>
      <c r="L1576" s="21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  <c r="AA1576" s="7"/>
      <c r="AB1576" s="7"/>
      <c r="AC1576" s="7"/>
      <c r="AD1576" s="7"/>
      <c r="AE1576" s="7"/>
    </row>
    <row r="1577">
      <c r="A1577" s="7"/>
      <c r="B1577" s="21"/>
      <c r="C1577" s="21"/>
      <c r="D1577" s="21"/>
      <c r="E1577" s="21"/>
      <c r="F1577" s="21"/>
      <c r="G1577" s="21"/>
      <c r="H1577" s="21"/>
      <c r="I1577" s="21"/>
      <c r="J1577" s="21"/>
      <c r="K1577" s="21"/>
      <c r="L1577" s="21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  <c r="AB1577" s="7"/>
      <c r="AC1577" s="7"/>
      <c r="AD1577" s="7"/>
      <c r="AE1577" s="7"/>
    </row>
    <row r="1578">
      <c r="A1578" s="7"/>
      <c r="B1578" s="21"/>
      <c r="C1578" s="21"/>
      <c r="D1578" s="21"/>
      <c r="E1578" s="21"/>
      <c r="F1578" s="21"/>
      <c r="G1578" s="21"/>
      <c r="H1578" s="21"/>
      <c r="I1578" s="21"/>
      <c r="J1578" s="21"/>
      <c r="K1578" s="21"/>
      <c r="L1578" s="21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  <c r="AA1578" s="7"/>
      <c r="AB1578" s="7"/>
      <c r="AC1578" s="7"/>
      <c r="AD1578" s="7"/>
      <c r="AE1578" s="7"/>
    </row>
    <row r="1579">
      <c r="A1579" s="7"/>
      <c r="B1579" s="21"/>
      <c r="C1579" s="21"/>
      <c r="D1579" s="21"/>
      <c r="E1579" s="21"/>
      <c r="F1579" s="21"/>
      <c r="G1579" s="21"/>
      <c r="H1579" s="21"/>
      <c r="I1579" s="21"/>
      <c r="J1579" s="21"/>
      <c r="K1579" s="21"/>
      <c r="L1579" s="21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AB1579" s="7"/>
      <c r="AC1579" s="7"/>
      <c r="AD1579" s="7"/>
      <c r="AE1579" s="7"/>
    </row>
    <row r="1580">
      <c r="A1580" s="7"/>
      <c r="B1580" s="21"/>
      <c r="C1580" s="21"/>
      <c r="D1580" s="21"/>
      <c r="E1580" s="21"/>
      <c r="F1580" s="21"/>
      <c r="G1580" s="21"/>
      <c r="H1580" s="21"/>
      <c r="I1580" s="21"/>
      <c r="J1580" s="21"/>
      <c r="K1580" s="21"/>
      <c r="L1580" s="21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AB1580" s="7"/>
      <c r="AC1580" s="7"/>
      <c r="AD1580" s="7"/>
      <c r="AE1580" s="7"/>
    </row>
    <row r="1581">
      <c r="A1581" s="7"/>
      <c r="B1581" s="21"/>
      <c r="C1581" s="21"/>
      <c r="D1581" s="21"/>
      <c r="E1581" s="21"/>
      <c r="F1581" s="21"/>
      <c r="G1581" s="21"/>
      <c r="H1581" s="21"/>
      <c r="I1581" s="21"/>
      <c r="J1581" s="21"/>
      <c r="K1581" s="21"/>
      <c r="L1581" s="21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  <c r="AB1581" s="7"/>
      <c r="AC1581" s="7"/>
      <c r="AD1581" s="7"/>
      <c r="AE1581" s="7"/>
    </row>
    <row r="1582">
      <c r="A1582" s="7"/>
      <c r="B1582" s="21"/>
      <c r="C1582" s="21"/>
      <c r="D1582" s="21"/>
      <c r="E1582" s="21"/>
      <c r="F1582" s="21"/>
      <c r="G1582" s="21"/>
      <c r="H1582" s="21"/>
      <c r="I1582" s="21"/>
      <c r="J1582" s="21"/>
      <c r="K1582" s="21"/>
      <c r="L1582" s="21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  <c r="AB1582" s="7"/>
      <c r="AC1582" s="7"/>
      <c r="AD1582" s="7"/>
      <c r="AE1582" s="7"/>
    </row>
    <row r="1583">
      <c r="A1583" s="7"/>
      <c r="B1583" s="21"/>
      <c r="C1583" s="21"/>
      <c r="D1583" s="21"/>
      <c r="E1583" s="21"/>
      <c r="F1583" s="21"/>
      <c r="G1583" s="21"/>
      <c r="H1583" s="21"/>
      <c r="I1583" s="21"/>
      <c r="J1583" s="21"/>
      <c r="K1583" s="21"/>
      <c r="L1583" s="21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7"/>
      <c r="AC1583" s="7"/>
      <c r="AD1583" s="7"/>
      <c r="AE1583" s="7"/>
    </row>
    <row r="1584">
      <c r="A1584" s="7"/>
      <c r="B1584" s="21"/>
      <c r="C1584" s="21"/>
      <c r="D1584" s="21"/>
      <c r="E1584" s="21"/>
      <c r="F1584" s="21"/>
      <c r="G1584" s="21"/>
      <c r="H1584" s="21"/>
      <c r="I1584" s="21"/>
      <c r="J1584" s="21"/>
      <c r="K1584" s="21"/>
      <c r="L1584" s="21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  <c r="AB1584" s="7"/>
      <c r="AC1584" s="7"/>
      <c r="AD1584" s="7"/>
      <c r="AE1584" s="7"/>
    </row>
    <row r="1585">
      <c r="A1585" s="7"/>
      <c r="B1585" s="21"/>
      <c r="C1585" s="21"/>
      <c r="D1585" s="21"/>
      <c r="E1585" s="21"/>
      <c r="F1585" s="21"/>
      <c r="G1585" s="21"/>
      <c r="H1585" s="21"/>
      <c r="I1585" s="21"/>
      <c r="J1585" s="21"/>
      <c r="K1585" s="21"/>
      <c r="L1585" s="21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  <c r="AB1585" s="7"/>
      <c r="AC1585" s="7"/>
      <c r="AD1585" s="7"/>
      <c r="AE1585" s="7"/>
    </row>
    <row r="1586">
      <c r="A1586" s="7"/>
      <c r="B1586" s="21"/>
      <c r="C1586" s="21"/>
      <c r="D1586" s="21"/>
      <c r="E1586" s="21"/>
      <c r="F1586" s="21"/>
      <c r="G1586" s="21"/>
      <c r="H1586" s="21"/>
      <c r="I1586" s="21"/>
      <c r="J1586" s="21"/>
      <c r="K1586" s="21"/>
      <c r="L1586" s="21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  <c r="AB1586" s="7"/>
      <c r="AC1586" s="7"/>
      <c r="AD1586" s="7"/>
      <c r="AE1586" s="7"/>
    </row>
    <row r="1587">
      <c r="A1587" s="7"/>
      <c r="B1587" s="21"/>
      <c r="C1587" s="21"/>
      <c r="D1587" s="21"/>
      <c r="E1587" s="21"/>
      <c r="F1587" s="21"/>
      <c r="G1587" s="21"/>
      <c r="H1587" s="21"/>
      <c r="I1587" s="21"/>
      <c r="J1587" s="21"/>
      <c r="K1587" s="21"/>
      <c r="L1587" s="21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  <c r="AB1587" s="7"/>
      <c r="AC1587" s="7"/>
      <c r="AD1587" s="7"/>
      <c r="AE1587" s="7"/>
    </row>
    <row r="1588">
      <c r="A1588" s="7"/>
      <c r="B1588" s="21"/>
      <c r="C1588" s="21"/>
      <c r="D1588" s="21"/>
      <c r="E1588" s="21"/>
      <c r="F1588" s="21"/>
      <c r="G1588" s="21"/>
      <c r="H1588" s="21"/>
      <c r="I1588" s="21"/>
      <c r="J1588" s="21"/>
      <c r="K1588" s="21"/>
      <c r="L1588" s="21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  <c r="AA1588" s="7"/>
      <c r="AB1588" s="7"/>
      <c r="AC1588" s="7"/>
      <c r="AD1588" s="7"/>
      <c r="AE1588" s="7"/>
    </row>
    <row r="1589">
      <c r="A1589" s="7"/>
      <c r="B1589" s="21"/>
      <c r="C1589" s="21"/>
      <c r="D1589" s="21"/>
      <c r="E1589" s="21"/>
      <c r="F1589" s="21"/>
      <c r="G1589" s="21"/>
      <c r="H1589" s="21"/>
      <c r="I1589" s="21"/>
      <c r="J1589" s="21"/>
      <c r="K1589" s="21"/>
      <c r="L1589" s="21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  <c r="AB1589" s="7"/>
      <c r="AC1589" s="7"/>
      <c r="AD1589" s="7"/>
      <c r="AE1589" s="7"/>
    </row>
    <row r="1590">
      <c r="A1590" s="7"/>
      <c r="B1590" s="21"/>
      <c r="C1590" s="21"/>
      <c r="D1590" s="21"/>
      <c r="E1590" s="21"/>
      <c r="F1590" s="21"/>
      <c r="G1590" s="21"/>
      <c r="H1590" s="21"/>
      <c r="I1590" s="21"/>
      <c r="J1590" s="21"/>
      <c r="K1590" s="21"/>
      <c r="L1590" s="21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AB1590" s="7"/>
      <c r="AC1590" s="7"/>
      <c r="AD1590" s="7"/>
      <c r="AE1590" s="7"/>
    </row>
    <row r="1591">
      <c r="A1591" s="7"/>
      <c r="B1591" s="21"/>
      <c r="C1591" s="21"/>
      <c r="D1591" s="21"/>
      <c r="E1591" s="21"/>
      <c r="F1591" s="21"/>
      <c r="G1591" s="21"/>
      <c r="H1591" s="21"/>
      <c r="I1591" s="21"/>
      <c r="J1591" s="21"/>
      <c r="K1591" s="21"/>
      <c r="L1591" s="21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7"/>
      <c r="AC1591" s="7"/>
      <c r="AD1591" s="7"/>
      <c r="AE1591" s="7"/>
    </row>
    <row r="1592">
      <c r="A1592" s="7"/>
      <c r="B1592" s="21"/>
      <c r="C1592" s="21"/>
      <c r="D1592" s="21"/>
      <c r="E1592" s="21"/>
      <c r="F1592" s="21"/>
      <c r="G1592" s="21"/>
      <c r="H1592" s="21"/>
      <c r="I1592" s="21"/>
      <c r="J1592" s="21"/>
      <c r="K1592" s="21"/>
      <c r="L1592" s="21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AB1592" s="7"/>
      <c r="AC1592" s="7"/>
      <c r="AD1592" s="7"/>
      <c r="AE1592" s="7"/>
    </row>
    <row r="1593">
      <c r="A1593" s="7"/>
      <c r="B1593" s="21"/>
      <c r="C1593" s="21"/>
      <c r="D1593" s="21"/>
      <c r="E1593" s="21"/>
      <c r="F1593" s="21"/>
      <c r="G1593" s="21"/>
      <c r="H1593" s="21"/>
      <c r="I1593" s="21"/>
      <c r="J1593" s="21"/>
      <c r="K1593" s="21"/>
      <c r="L1593" s="21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  <c r="AB1593" s="7"/>
      <c r="AC1593" s="7"/>
      <c r="AD1593" s="7"/>
      <c r="AE1593" s="7"/>
    </row>
    <row r="1594">
      <c r="A1594" s="7"/>
      <c r="B1594" s="21"/>
      <c r="C1594" s="21"/>
      <c r="D1594" s="21"/>
      <c r="E1594" s="21"/>
      <c r="F1594" s="21"/>
      <c r="G1594" s="21"/>
      <c r="H1594" s="21"/>
      <c r="I1594" s="21"/>
      <c r="J1594" s="21"/>
      <c r="K1594" s="21"/>
      <c r="L1594" s="21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  <c r="AB1594" s="7"/>
      <c r="AC1594" s="7"/>
      <c r="AD1594" s="7"/>
      <c r="AE1594" s="7"/>
    </row>
    <row r="1595">
      <c r="A1595" s="7"/>
      <c r="B1595" s="21"/>
      <c r="C1595" s="21"/>
      <c r="D1595" s="21"/>
      <c r="E1595" s="21"/>
      <c r="F1595" s="21"/>
      <c r="G1595" s="21"/>
      <c r="H1595" s="21"/>
      <c r="I1595" s="21"/>
      <c r="J1595" s="21"/>
      <c r="K1595" s="21"/>
      <c r="L1595" s="21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  <c r="AB1595" s="7"/>
      <c r="AC1595" s="7"/>
      <c r="AD1595" s="7"/>
      <c r="AE1595" s="7"/>
    </row>
    <row r="1596">
      <c r="A1596" s="7"/>
      <c r="B1596" s="21"/>
      <c r="C1596" s="21"/>
      <c r="D1596" s="21"/>
      <c r="E1596" s="21"/>
      <c r="F1596" s="21"/>
      <c r="G1596" s="21"/>
      <c r="H1596" s="21"/>
      <c r="I1596" s="21"/>
      <c r="J1596" s="21"/>
      <c r="K1596" s="21"/>
      <c r="L1596" s="21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  <c r="AB1596" s="7"/>
      <c r="AC1596" s="7"/>
      <c r="AD1596" s="7"/>
      <c r="AE1596" s="7"/>
    </row>
    <row r="1597">
      <c r="A1597" s="7"/>
      <c r="B1597" s="21"/>
      <c r="C1597" s="21"/>
      <c r="D1597" s="21"/>
      <c r="E1597" s="21"/>
      <c r="F1597" s="21"/>
      <c r="G1597" s="21"/>
      <c r="H1597" s="21"/>
      <c r="I1597" s="21"/>
      <c r="J1597" s="21"/>
      <c r="K1597" s="21"/>
      <c r="L1597" s="21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</row>
    <row r="1598">
      <c r="A1598" s="7"/>
      <c r="B1598" s="21"/>
      <c r="C1598" s="21"/>
      <c r="D1598" s="21"/>
      <c r="E1598" s="21"/>
      <c r="F1598" s="21"/>
      <c r="G1598" s="21"/>
      <c r="H1598" s="21"/>
      <c r="I1598" s="21"/>
      <c r="J1598" s="21"/>
      <c r="K1598" s="21"/>
      <c r="L1598" s="21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</row>
    <row r="1599">
      <c r="A1599" s="7"/>
      <c r="B1599" s="21"/>
      <c r="C1599" s="21"/>
      <c r="D1599" s="21"/>
      <c r="E1599" s="21"/>
      <c r="F1599" s="21"/>
      <c r="G1599" s="21"/>
      <c r="H1599" s="21"/>
      <c r="I1599" s="21"/>
      <c r="J1599" s="21"/>
      <c r="K1599" s="21"/>
      <c r="L1599" s="21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</row>
    <row r="1600">
      <c r="A1600" s="7"/>
      <c r="B1600" s="21"/>
      <c r="C1600" s="21"/>
      <c r="D1600" s="21"/>
      <c r="E1600" s="21"/>
      <c r="F1600" s="21"/>
      <c r="G1600" s="21"/>
      <c r="H1600" s="21"/>
      <c r="I1600" s="21"/>
      <c r="J1600" s="21"/>
      <c r="K1600" s="21"/>
      <c r="L1600" s="21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</row>
    <row r="1601">
      <c r="A1601" s="7"/>
      <c r="B1601" s="21"/>
      <c r="C1601" s="21"/>
      <c r="D1601" s="21"/>
      <c r="E1601" s="21"/>
      <c r="F1601" s="21"/>
      <c r="G1601" s="21"/>
      <c r="H1601" s="21"/>
      <c r="I1601" s="21"/>
      <c r="J1601" s="21"/>
      <c r="K1601" s="21"/>
      <c r="L1601" s="21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</row>
    <row r="1602">
      <c r="A1602" s="7"/>
      <c r="B1602" s="21"/>
      <c r="C1602" s="21"/>
      <c r="D1602" s="21"/>
      <c r="E1602" s="21"/>
      <c r="F1602" s="21"/>
      <c r="G1602" s="21"/>
      <c r="H1602" s="21"/>
      <c r="I1602" s="21"/>
      <c r="J1602" s="21"/>
      <c r="K1602" s="21"/>
      <c r="L1602" s="21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  <c r="AB1602" s="7"/>
      <c r="AC1602" s="7"/>
      <c r="AD1602" s="7"/>
      <c r="AE1602" s="7"/>
    </row>
    <row r="1603">
      <c r="A1603" s="7"/>
      <c r="B1603" s="21"/>
      <c r="C1603" s="21"/>
      <c r="D1603" s="21"/>
      <c r="E1603" s="21"/>
      <c r="F1603" s="21"/>
      <c r="G1603" s="21"/>
      <c r="H1603" s="21"/>
      <c r="I1603" s="21"/>
      <c r="J1603" s="21"/>
      <c r="K1603" s="21"/>
      <c r="L1603" s="21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  <c r="AA1603" s="7"/>
      <c r="AB1603" s="7"/>
      <c r="AC1603" s="7"/>
      <c r="AD1603" s="7"/>
      <c r="AE1603" s="7"/>
    </row>
    <row r="1604">
      <c r="A1604" s="7"/>
      <c r="B1604" s="21"/>
      <c r="C1604" s="21"/>
      <c r="D1604" s="21"/>
      <c r="E1604" s="21"/>
      <c r="F1604" s="21"/>
      <c r="G1604" s="21"/>
      <c r="H1604" s="21"/>
      <c r="I1604" s="21"/>
      <c r="J1604" s="21"/>
      <c r="K1604" s="21"/>
      <c r="L1604" s="21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  <c r="AA1604" s="7"/>
      <c r="AB1604" s="7"/>
      <c r="AC1604" s="7"/>
      <c r="AD1604" s="7"/>
      <c r="AE1604" s="7"/>
    </row>
    <row r="1605">
      <c r="A1605" s="7"/>
      <c r="B1605" s="21"/>
      <c r="C1605" s="21"/>
      <c r="D1605" s="21"/>
      <c r="E1605" s="21"/>
      <c r="F1605" s="21"/>
      <c r="G1605" s="21"/>
      <c r="H1605" s="21"/>
      <c r="I1605" s="21"/>
      <c r="J1605" s="21"/>
      <c r="K1605" s="21"/>
      <c r="L1605" s="21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  <c r="AA1605" s="7"/>
      <c r="AB1605" s="7"/>
      <c r="AC1605" s="7"/>
      <c r="AD1605" s="7"/>
      <c r="AE1605" s="7"/>
    </row>
    <row r="1606">
      <c r="A1606" s="7"/>
      <c r="B1606" s="21"/>
      <c r="C1606" s="21"/>
      <c r="D1606" s="21"/>
      <c r="E1606" s="21"/>
      <c r="F1606" s="21"/>
      <c r="G1606" s="21"/>
      <c r="H1606" s="21"/>
      <c r="I1606" s="21"/>
      <c r="J1606" s="21"/>
      <c r="K1606" s="21"/>
      <c r="L1606" s="21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  <c r="AA1606" s="7"/>
      <c r="AB1606" s="7"/>
      <c r="AC1606" s="7"/>
      <c r="AD1606" s="7"/>
      <c r="AE1606" s="7"/>
    </row>
    <row r="1607">
      <c r="A1607" s="7"/>
      <c r="B1607" s="21"/>
      <c r="C1607" s="21"/>
      <c r="D1607" s="21"/>
      <c r="E1607" s="21"/>
      <c r="F1607" s="21"/>
      <c r="G1607" s="21"/>
      <c r="H1607" s="21"/>
      <c r="I1607" s="21"/>
      <c r="J1607" s="21"/>
      <c r="K1607" s="21"/>
      <c r="L1607" s="21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  <c r="AA1607" s="7"/>
      <c r="AB1607" s="7"/>
      <c r="AC1607" s="7"/>
      <c r="AD1607" s="7"/>
      <c r="AE1607" s="7"/>
    </row>
    <row r="1608">
      <c r="A1608" s="7"/>
      <c r="B1608" s="21"/>
      <c r="C1608" s="21"/>
      <c r="D1608" s="21"/>
      <c r="E1608" s="21"/>
      <c r="F1608" s="21"/>
      <c r="G1608" s="21"/>
      <c r="H1608" s="21"/>
      <c r="I1608" s="21"/>
      <c r="J1608" s="21"/>
      <c r="K1608" s="21"/>
      <c r="L1608" s="21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  <c r="AB1608" s="7"/>
      <c r="AC1608" s="7"/>
      <c r="AD1608" s="7"/>
      <c r="AE1608" s="7"/>
    </row>
    <row r="1609">
      <c r="A1609" s="7"/>
      <c r="B1609" s="21"/>
      <c r="C1609" s="21"/>
      <c r="D1609" s="21"/>
      <c r="E1609" s="21"/>
      <c r="F1609" s="21"/>
      <c r="G1609" s="21"/>
      <c r="H1609" s="21"/>
      <c r="I1609" s="21"/>
      <c r="J1609" s="21"/>
      <c r="K1609" s="21"/>
      <c r="L1609" s="21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  <c r="AA1609" s="7"/>
      <c r="AB1609" s="7"/>
      <c r="AC1609" s="7"/>
      <c r="AD1609" s="7"/>
      <c r="AE1609" s="7"/>
    </row>
    <row r="1610">
      <c r="A1610" s="7"/>
      <c r="B1610" s="21"/>
      <c r="C1610" s="21"/>
      <c r="D1610" s="21"/>
      <c r="E1610" s="21"/>
      <c r="F1610" s="21"/>
      <c r="G1610" s="21"/>
      <c r="H1610" s="21"/>
      <c r="I1610" s="21"/>
      <c r="J1610" s="21"/>
      <c r="K1610" s="21"/>
      <c r="L1610" s="21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  <c r="AA1610" s="7"/>
      <c r="AB1610" s="7"/>
      <c r="AC1610" s="7"/>
      <c r="AD1610" s="7"/>
      <c r="AE1610" s="7"/>
    </row>
    <row r="1611">
      <c r="A1611" s="7"/>
      <c r="B1611" s="21"/>
      <c r="C1611" s="21"/>
      <c r="D1611" s="21"/>
      <c r="E1611" s="21"/>
      <c r="F1611" s="21"/>
      <c r="G1611" s="21"/>
      <c r="H1611" s="21"/>
      <c r="I1611" s="21"/>
      <c r="J1611" s="21"/>
      <c r="K1611" s="21"/>
      <c r="L1611" s="21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  <c r="AA1611" s="7"/>
      <c r="AB1611" s="7"/>
      <c r="AC1611" s="7"/>
      <c r="AD1611" s="7"/>
      <c r="AE1611" s="7"/>
    </row>
    <row r="1612">
      <c r="A1612" s="7"/>
      <c r="B1612" s="21"/>
      <c r="C1612" s="21"/>
      <c r="D1612" s="21"/>
      <c r="E1612" s="21"/>
      <c r="F1612" s="21"/>
      <c r="G1612" s="21"/>
      <c r="H1612" s="21"/>
      <c r="I1612" s="21"/>
      <c r="J1612" s="21"/>
      <c r="K1612" s="21"/>
      <c r="L1612" s="21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  <c r="AA1612" s="7"/>
      <c r="AB1612" s="7"/>
      <c r="AC1612" s="7"/>
      <c r="AD1612" s="7"/>
      <c r="AE1612" s="7"/>
    </row>
    <row r="1613">
      <c r="A1613" s="7"/>
      <c r="B1613" s="21"/>
      <c r="C1613" s="21"/>
      <c r="D1613" s="21"/>
      <c r="E1613" s="21"/>
      <c r="F1613" s="21"/>
      <c r="G1613" s="21"/>
      <c r="H1613" s="21"/>
      <c r="I1613" s="21"/>
      <c r="J1613" s="21"/>
      <c r="K1613" s="21"/>
      <c r="L1613" s="21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  <c r="AA1613" s="7"/>
      <c r="AB1613" s="7"/>
      <c r="AC1613" s="7"/>
      <c r="AD1613" s="7"/>
      <c r="AE1613" s="7"/>
    </row>
    <row r="1614">
      <c r="A1614" s="7"/>
      <c r="B1614" s="21"/>
      <c r="C1614" s="21"/>
      <c r="D1614" s="21"/>
      <c r="E1614" s="21"/>
      <c r="F1614" s="21"/>
      <c r="G1614" s="21"/>
      <c r="H1614" s="21"/>
      <c r="I1614" s="21"/>
      <c r="J1614" s="21"/>
      <c r="K1614" s="21"/>
      <c r="L1614" s="21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  <c r="AA1614" s="7"/>
      <c r="AB1614" s="7"/>
      <c r="AC1614" s="7"/>
      <c r="AD1614" s="7"/>
      <c r="AE1614" s="7"/>
    </row>
    <row r="1615">
      <c r="A1615" s="7"/>
      <c r="B1615" s="21"/>
      <c r="C1615" s="21"/>
      <c r="D1615" s="21"/>
      <c r="E1615" s="21"/>
      <c r="F1615" s="21"/>
      <c r="G1615" s="21"/>
      <c r="H1615" s="21"/>
      <c r="I1615" s="21"/>
      <c r="J1615" s="21"/>
      <c r="K1615" s="21"/>
      <c r="L1615" s="21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  <c r="AA1615" s="7"/>
      <c r="AB1615" s="7"/>
      <c r="AC1615" s="7"/>
      <c r="AD1615" s="7"/>
      <c r="AE1615" s="7"/>
    </row>
    <row r="1616">
      <c r="A1616" s="7"/>
      <c r="B1616" s="21"/>
      <c r="C1616" s="21"/>
      <c r="D1616" s="21"/>
      <c r="E1616" s="21"/>
      <c r="F1616" s="21"/>
      <c r="G1616" s="21"/>
      <c r="H1616" s="21"/>
      <c r="I1616" s="21"/>
      <c r="J1616" s="21"/>
      <c r="K1616" s="21"/>
      <c r="L1616" s="21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  <c r="AA1616" s="7"/>
      <c r="AB1616" s="7"/>
      <c r="AC1616" s="7"/>
      <c r="AD1616" s="7"/>
      <c r="AE1616" s="7"/>
    </row>
    <row r="1617">
      <c r="A1617" s="7"/>
      <c r="B1617" s="21"/>
      <c r="C1617" s="21"/>
      <c r="D1617" s="21"/>
      <c r="E1617" s="21"/>
      <c r="F1617" s="21"/>
      <c r="G1617" s="21"/>
      <c r="H1617" s="21"/>
      <c r="I1617" s="21"/>
      <c r="J1617" s="21"/>
      <c r="K1617" s="21"/>
      <c r="L1617" s="21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  <c r="AA1617" s="7"/>
      <c r="AB1617" s="7"/>
      <c r="AC1617" s="7"/>
      <c r="AD1617" s="7"/>
      <c r="AE1617" s="7"/>
    </row>
    <row r="1618">
      <c r="A1618" s="7"/>
      <c r="B1618" s="21"/>
      <c r="C1618" s="21"/>
      <c r="D1618" s="21"/>
      <c r="E1618" s="21"/>
      <c r="F1618" s="21"/>
      <c r="G1618" s="21"/>
      <c r="H1618" s="21"/>
      <c r="I1618" s="21"/>
      <c r="J1618" s="21"/>
      <c r="K1618" s="21"/>
      <c r="L1618" s="21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  <c r="AA1618" s="7"/>
      <c r="AB1618" s="7"/>
      <c r="AC1618" s="7"/>
      <c r="AD1618" s="7"/>
      <c r="AE1618" s="7"/>
    </row>
    <row r="1619">
      <c r="A1619" s="7"/>
      <c r="B1619" s="21"/>
      <c r="C1619" s="21"/>
      <c r="D1619" s="21"/>
      <c r="E1619" s="21"/>
      <c r="F1619" s="21"/>
      <c r="G1619" s="21"/>
      <c r="H1619" s="21"/>
      <c r="I1619" s="21"/>
      <c r="J1619" s="21"/>
      <c r="K1619" s="21"/>
      <c r="L1619" s="21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  <c r="AA1619" s="7"/>
      <c r="AB1619" s="7"/>
      <c r="AC1619" s="7"/>
      <c r="AD1619" s="7"/>
      <c r="AE1619" s="7"/>
    </row>
    <row r="1620">
      <c r="A1620" s="7"/>
      <c r="B1620" s="21"/>
      <c r="C1620" s="21"/>
      <c r="D1620" s="21"/>
      <c r="E1620" s="21"/>
      <c r="F1620" s="21"/>
      <c r="G1620" s="21"/>
      <c r="H1620" s="21"/>
      <c r="I1620" s="21"/>
      <c r="J1620" s="21"/>
      <c r="K1620" s="21"/>
      <c r="L1620" s="21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  <c r="AA1620" s="7"/>
      <c r="AB1620" s="7"/>
      <c r="AC1620" s="7"/>
      <c r="AD1620" s="7"/>
      <c r="AE1620" s="7"/>
    </row>
    <row r="1621">
      <c r="A1621" s="7"/>
      <c r="B1621" s="21"/>
      <c r="C1621" s="21"/>
      <c r="D1621" s="21"/>
      <c r="E1621" s="21"/>
      <c r="F1621" s="21"/>
      <c r="G1621" s="21"/>
      <c r="H1621" s="21"/>
      <c r="I1621" s="21"/>
      <c r="J1621" s="21"/>
      <c r="K1621" s="21"/>
      <c r="L1621" s="21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  <c r="AA1621" s="7"/>
      <c r="AB1621" s="7"/>
      <c r="AC1621" s="7"/>
      <c r="AD1621" s="7"/>
      <c r="AE1621" s="7"/>
    </row>
    <row r="1622">
      <c r="A1622" s="7"/>
      <c r="B1622" s="21"/>
      <c r="C1622" s="21"/>
      <c r="D1622" s="21"/>
      <c r="E1622" s="21"/>
      <c r="F1622" s="21"/>
      <c r="G1622" s="21"/>
      <c r="H1622" s="21"/>
      <c r="I1622" s="21"/>
      <c r="J1622" s="21"/>
      <c r="K1622" s="21"/>
      <c r="L1622" s="21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  <c r="AA1622" s="7"/>
      <c r="AB1622" s="7"/>
      <c r="AC1622" s="7"/>
      <c r="AD1622" s="7"/>
      <c r="AE1622" s="7"/>
    </row>
    <row r="1623">
      <c r="A1623" s="7"/>
      <c r="B1623" s="21"/>
      <c r="C1623" s="21"/>
      <c r="D1623" s="21"/>
      <c r="E1623" s="21"/>
      <c r="F1623" s="21"/>
      <c r="G1623" s="21"/>
      <c r="H1623" s="21"/>
      <c r="I1623" s="21"/>
      <c r="J1623" s="21"/>
      <c r="K1623" s="21"/>
      <c r="L1623" s="21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  <c r="AA1623" s="7"/>
      <c r="AB1623" s="7"/>
      <c r="AC1623" s="7"/>
      <c r="AD1623" s="7"/>
      <c r="AE1623" s="7"/>
    </row>
    <row r="1624">
      <c r="A1624" s="7"/>
      <c r="B1624" s="21"/>
      <c r="C1624" s="21"/>
      <c r="D1624" s="21"/>
      <c r="E1624" s="21"/>
      <c r="F1624" s="21"/>
      <c r="G1624" s="21"/>
      <c r="H1624" s="21"/>
      <c r="I1624" s="21"/>
      <c r="J1624" s="21"/>
      <c r="K1624" s="21"/>
      <c r="L1624" s="21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  <c r="AA1624" s="7"/>
      <c r="AB1624" s="7"/>
      <c r="AC1624" s="7"/>
      <c r="AD1624" s="7"/>
      <c r="AE1624" s="7"/>
    </row>
    <row r="1625">
      <c r="A1625" s="7"/>
      <c r="B1625" s="21"/>
      <c r="C1625" s="21"/>
      <c r="D1625" s="21"/>
      <c r="E1625" s="21"/>
      <c r="F1625" s="21"/>
      <c r="G1625" s="21"/>
      <c r="H1625" s="21"/>
      <c r="I1625" s="21"/>
      <c r="J1625" s="21"/>
      <c r="K1625" s="21"/>
      <c r="L1625" s="21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  <c r="AA1625" s="7"/>
      <c r="AB1625" s="7"/>
      <c r="AC1625" s="7"/>
      <c r="AD1625" s="7"/>
      <c r="AE1625" s="7"/>
    </row>
    <row r="1626">
      <c r="A1626" s="7"/>
      <c r="B1626" s="21"/>
      <c r="C1626" s="21"/>
      <c r="D1626" s="21"/>
      <c r="E1626" s="21"/>
      <c r="F1626" s="21"/>
      <c r="G1626" s="21"/>
      <c r="H1626" s="21"/>
      <c r="I1626" s="21"/>
      <c r="J1626" s="21"/>
      <c r="K1626" s="21"/>
      <c r="L1626" s="21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  <c r="AA1626" s="7"/>
      <c r="AB1626" s="7"/>
      <c r="AC1626" s="7"/>
      <c r="AD1626" s="7"/>
      <c r="AE1626" s="7"/>
    </row>
    <row r="1627">
      <c r="A1627" s="7"/>
      <c r="B1627" s="21"/>
      <c r="C1627" s="21"/>
      <c r="D1627" s="21"/>
      <c r="E1627" s="21"/>
      <c r="F1627" s="21"/>
      <c r="G1627" s="21"/>
      <c r="H1627" s="21"/>
      <c r="I1627" s="21"/>
      <c r="J1627" s="21"/>
      <c r="K1627" s="21"/>
      <c r="L1627" s="21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  <c r="AA1627" s="7"/>
      <c r="AB1627" s="7"/>
      <c r="AC1627" s="7"/>
      <c r="AD1627" s="7"/>
      <c r="AE1627" s="7"/>
    </row>
    <row r="1628">
      <c r="A1628" s="7"/>
      <c r="B1628" s="21"/>
      <c r="C1628" s="21"/>
      <c r="D1628" s="21"/>
      <c r="E1628" s="21"/>
      <c r="F1628" s="21"/>
      <c r="G1628" s="21"/>
      <c r="H1628" s="21"/>
      <c r="I1628" s="21"/>
      <c r="J1628" s="21"/>
      <c r="K1628" s="21"/>
      <c r="L1628" s="21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  <c r="AA1628" s="7"/>
      <c r="AB1628" s="7"/>
      <c r="AC1628" s="7"/>
      <c r="AD1628" s="7"/>
      <c r="AE1628" s="7"/>
    </row>
    <row r="1629">
      <c r="A1629" s="7"/>
      <c r="B1629" s="21"/>
      <c r="C1629" s="21"/>
      <c r="D1629" s="21"/>
      <c r="E1629" s="21"/>
      <c r="F1629" s="21"/>
      <c r="G1629" s="21"/>
      <c r="H1629" s="21"/>
      <c r="I1629" s="21"/>
      <c r="J1629" s="21"/>
      <c r="K1629" s="21"/>
      <c r="L1629" s="21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Z1629" s="7"/>
      <c r="AA1629" s="7"/>
      <c r="AB1629" s="7"/>
      <c r="AC1629" s="7"/>
      <c r="AD1629" s="7"/>
      <c r="AE1629" s="7"/>
    </row>
    <row r="1630">
      <c r="A1630" s="7"/>
      <c r="B1630" s="21"/>
      <c r="C1630" s="21"/>
      <c r="D1630" s="21"/>
      <c r="E1630" s="21"/>
      <c r="F1630" s="21"/>
      <c r="G1630" s="21"/>
      <c r="H1630" s="21"/>
      <c r="I1630" s="21"/>
      <c r="J1630" s="21"/>
      <c r="K1630" s="21"/>
      <c r="L1630" s="21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  <c r="AA1630" s="7"/>
      <c r="AB1630" s="7"/>
      <c r="AC1630" s="7"/>
      <c r="AD1630" s="7"/>
      <c r="AE1630" s="7"/>
    </row>
    <row r="1631">
      <c r="A1631" s="7"/>
      <c r="B1631" s="21"/>
      <c r="C1631" s="21"/>
      <c r="D1631" s="21"/>
      <c r="E1631" s="21"/>
      <c r="F1631" s="21"/>
      <c r="G1631" s="21"/>
      <c r="H1631" s="21"/>
      <c r="I1631" s="21"/>
      <c r="J1631" s="21"/>
      <c r="K1631" s="21"/>
      <c r="L1631" s="21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  <c r="AA1631" s="7"/>
      <c r="AB1631" s="7"/>
      <c r="AC1631" s="7"/>
      <c r="AD1631" s="7"/>
      <c r="AE1631" s="7"/>
    </row>
    <row r="1632">
      <c r="A1632" s="7"/>
      <c r="B1632" s="21"/>
      <c r="C1632" s="21"/>
      <c r="D1632" s="21"/>
      <c r="E1632" s="21"/>
      <c r="F1632" s="21"/>
      <c r="G1632" s="21"/>
      <c r="H1632" s="21"/>
      <c r="I1632" s="21"/>
      <c r="J1632" s="21"/>
      <c r="K1632" s="21"/>
      <c r="L1632" s="21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  <c r="AA1632" s="7"/>
      <c r="AB1632" s="7"/>
      <c r="AC1632" s="7"/>
      <c r="AD1632" s="7"/>
      <c r="AE1632" s="7"/>
    </row>
    <row r="1633">
      <c r="A1633" s="7"/>
      <c r="B1633" s="21"/>
      <c r="C1633" s="21"/>
      <c r="D1633" s="21"/>
      <c r="E1633" s="21"/>
      <c r="F1633" s="21"/>
      <c r="G1633" s="21"/>
      <c r="H1633" s="21"/>
      <c r="I1633" s="21"/>
      <c r="J1633" s="21"/>
      <c r="K1633" s="21"/>
      <c r="L1633" s="21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  <c r="AB1633" s="7"/>
      <c r="AC1633" s="7"/>
      <c r="AD1633" s="7"/>
      <c r="AE1633" s="7"/>
    </row>
    <row r="1634">
      <c r="A1634" s="7"/>
      <c r="B1634" s="21"/>
      <c r="C1634" s="21"/>
      <c r="D1634" s="21"/>
      <c r="E1634" s="21"/>
      <c r="F1634" s="21"/>
      <c r="G1634" s="21"/>
      <c r="H1634" s="21"/>
      <c r="I1634" s="21"/>
      <c r="J1634" s="21"/>
      <c r="K1634" s="21"/>
      <c r="L1634" s="21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  <c r="AA1634" s="7"/>
      <c r="AB1634" s="7"/>
      <c r="AC1634" s="7"/>
      <c r="AD1634" s="7"/>
      <c r="AE1634" s="7"/>
    </row>
    <row r="1635">
      <c r="A1635" s="7"/>
      <c r="B1635" s="21"/>
      <c r="C1635" s="21"/>
      <c r="D1635" s="21"/>
      <c r="E1635" s="21"/>
      <c r="F1635" s="21"/>
      <c r="G1635" s="21"/>
      <c r="H1635" s="21"/>
      <c r="I1635" s="21"/>
      <c r="J1635" s="21"/>
      <c r="K1635" s="21"/>
      <c r="L1635" s="21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  <c r="AA1635" s="7"/>
      <c r="AB1635" s="7"/>
      <c r="AC1635" s="7"/>
      <c r="AD1635" s="7"/>
      <c r="AE1635" s="7"/>
    </row>
    <row r="1636">
      <c r="A1636" s="7"/>
      <c r="B1636" s="21"/>
      <c r="C1636" s="21"/>
      <c r="D1636" s="21"/>
      <c r="E1636" s="21"/>
      <c r="F1636" s="21"/>
      <c r="G1636" s="21"/>
      <c r="H1636" s="21"/>
      <c r="I1636" s="21"/>
      <c r="J1636" s="21"/>
      <c r="K1636" s="21"/>
      <c r="L1636" s="21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  <c r="AA1636" s="7"/>
      <c r="AB1636" s="7"/>
      <c r="AC1636" s="7"/>
      <c r="AD1636" s="7"/>
      <c r="AE1636" s="7"/>
    </row>
    <row r="1637">
      <c r="A1637" s="7"/>
      <c r="B1637" s="21"/>
      <c r="C1637" s="21"/>
      <c r="D1637" s="21"/>
      <c r="E1637" s="21"/>
      <c r="F1637" s="21"/>
      <c r="G1637" s="21"/>
      <c r="H1637" s="21"/>
      <c r="I1637" s="21"/>
      <c r="J1637" s="21"/>
      <c r="K1637" s="21"/>
      <c r="L1637" s="21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  <c r="AA1637" s="7"/>
      <c r="AB1637" s="7"/>
      <c r="AC1637" s="7"/>
      <c r="AD1637" s="7"/>
      <c r="AE1637" s="7"/>
    </row>
    <row r="1638">
      <c r="A1638" s="7"/>
      <c r="B1638" s="21"/>
      <c r="C1638" s="21"/>
      <c r="D1638" s="21"/>
      <c r="E1638" s="21"/>
      <c r="F1638" s="21"/>
      <c r="G1638" s="21"/>
      <c r="H1638" s="21"/>
      <c r="I1638" s="21"/>
      <c r="J1638" s="21"/>
      <c r="K1638" s="21"/>
      <c r="L1638" s="21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  <c r="AA1638" s="7"/>
      <c r="AB1638" s="7"/>
      <c r="AC1638" s="7"/>
      <c r="AD1638" s="7"/>
      <c r="AE1638" s="7"/>
    </row>
    <row r="1639">
      <c r="A1639" s="7"/>
      <c r="B1639" s="21"/>
      <c r="C1639" s="21"/>
      <c r="D1639" s="21"/>
      <c r="E1639" s="21"/>
      <c r="F1639" s="21"/>
      <c r="G1639" s="21"/>
      <c r="H1639" s="21"/>
      <c r="I1639" s="21"/>
      <c r="J1639" s="21"/>
      <c r="K1639" s="21"/>
      <c r="L1639" s="21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  <c r="AB1639" s="7"/>
      <c r="AC1639" s="7"/>
      <c r="AD1639" s="7"/>
      <c r="AE1639" s="7"/>
    </row>
    <row r="1640">
      <c r="A1640" s="7"/>
      <c r="B1640" s="21"/>
      <c r="C1640" s="21"/>
      <c r="D1640" s="21"/>
      <c r="E1640" s="21"/>
      <c r="F1640" s="21"/>
      <c r="G1640" s="21"/>
      <c r="H1640" s="21"/>
      <c r="I1640" s="21"/>
      <c r="J1640" s="21"/>
      <c r="K1640" s="21"/>
      <c r="L1640" s="21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7"/>
      <c r="AB1640" s="7"/>
      <c r="AC1640" s="7"/>
      <c r="AD1640" s="7"/>
      <c r="AE1640" s="7"/>
    </row>
    <row r="1641">
      <c r="A1641" s="7"/>
      <c r="B1641" s="21"/>
      <c r="C1641" s="21"/>
      <c r="D1641" s="21"/>
      <c r="E1641" s="21"/>
      <c r="F1641" s="21"/>
      <c r="G1641" s="21"/>
      <c r="H1641" s="21"/>
      <c r="I1641" s="21"/>
      <c r="J1641" s="21"/>
      <c r="K1641" s="21"/>
      <c r="L1641" s="21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  <c r="AA1641" s="7"/>
      <c r="AB1641" s="7"/>
      <c r="AC1641" s="7"/>
      <c r="AD1641" s="7"/>
      <c r="AE1641" s="7"/>
    </row>
    <row r="1642">
      <c r="A1642" s="7"/>
      <c r="B1642" s="21"/>
      <c r="C1642" s="21"/>
      <c r="D1642" s="21"/>
      <c r="E1642" s="21"/>
      <c r="F1642" s="21"/>
      <c r="G1642" s="21"/>
      <c r="H1642" s="21"/>
      <c r="I1642" s="21"/>
      <c r="J1642" s="21"/>
      <c r="K1642" s="21"/>
      <c r="L1642" s="21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  <c r="AA1642" s="7"/>
      <c r="AB1642" s="7"/>
      <c r="AC1642" s="7"/>
      <c r="AD1642" s="7"/>
      <c r="AE1642" s="7"/>
    </row>
    <row r="1643">
      <c r="A1643" s="7"/>
      <c r="B1643" s="21"/>
      <c r="C1643" s="21"/>
      <c r="D1643" s="21"/>
      <c r="E1643" s="21"/>
      <c r="F1643" s="21"/>
      <c r="G1643" s="21"/>
      <c r="H1643" s="21"/>
      <c r="I1643" s="21"/>
      <c r="J1643" s="21"/>
      <c r="K1643" s="21"/>
      <c r="L1643" s="21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  <c r="AA1643" s="7"/>
      <c r="AB1643" s="7"/>
      <c r="AC1643" s="7"/>
      <c r="AD1643" s="7"/>
      <c r="AE1643" s="7"/>
    </row>
    <row r="1644">
      <c r="A1644" s="7"/>
      <c r="B1644" s="21"/>
      <c r="C1644" s="21"/>
      <c r="D1644" s="21"/>
      <c r="E1644" s="21"/>
      <c r="F1644" s="21"/>
      <c r="G1644" s="21"/>
      <c r="H1644" s="21"/>
      <c r="I1644" s="21"/>
      <c r="J1644" s="21"/>
      <c r="K1644" s="21"/>
      <c r="L1644" s="21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  <c r="AA1644" s="7"/>
      <c r="AB1644" s="7"/>
      <c r="AC1644" s="7"/>
      <c r="AD1644" s="7"/>
      <c r="AE1644" s="7"/>
    </row>
    <row r="1645">
      <c r="A1645" s="7"/>
      <c r="B1645" s="21"/>
      <c r="C1645" s="21"/>
      <c r="D1645" s="21"/>
      <c r="E1645" s="21"/>
      <c r="F1645" s="21"/>
      <c r="G1645" s="21"/>
      <c r="H1645" s="21"/>
      <c r="I1645" s="21"/>
      <c r="J1645" s="21"/>
      <c r="K1645" s="21"/>
      <c r="L1645" s="21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  <c r="AA1645" s="7"/>
      <c r="AB1645" s="7"/>
      <c r="AC1645" s="7"/>
      <c r="AD1645" s="7"/>
      <c r="AE1645" s="7"/>
    </row>
    <row r="1646">
      <c r="A1646" s="7"/>
      <c r="B1646" s="21"/>
      <c r="C1646" s="21"/>
      <c r="D1646" s="21"/>
      <c r="E1646" s="21"/>
      <c r="F1646" s="21"/>
      <c r="G1646" s="21"/>
      <c r="H1646" s="21"/>
      <c r="I1646" s="21"/>
      <c r="J1646" s="21"/>
      <c r="K1646" s="21"/>
      <c r="L1646" s="21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  <c r="AA1646" s="7"/>
      <c r="AB1646" s="7"/>
      <c r="AC1646" s="7"/>
      <c r="AD1646" s="7"/>
      <c r="AE1646" s="7"/>
    </row>
    <row r="1647">
      <c r="A1647" s="7"/>
      <c r="B1647" s="21"/>
      <c r="C1647" s="21"/>
      <c r="D1647" s="21"/>
      <c r="E1647" s="21"/>
      <c r="F1647" s="21"/>
      <c r="G1647" s="21"/>
      <c r="H1647" s="21"/>
      <c r="I1647" s="21"/>
      <c r="J1647" s="21"/>
      <c r="K1647" s="21"/>
      <c r="L1647" s="21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  <c r="AA1647" s="7"/>
      <c r="AB1647" s="7"/>
      <c r="AC1647" s="7"/>
      <c r="AD1647" s="7"/>
      <c r="AE1647" s="7"/>
    </row>
    <row r="1648">
      <c r="A1648" s="7"/>
      <c r="B1648" s="21"/>
      <c r="C1648" s="21"/>
      <c r="D1648" s="21"/>
      <c r="E1648" s="21"/>
      <c r="F1648" s="21"/>
      <c r="G1648" s="21"/>
      <c r="H1648" s="21"/>
      <c r="I1648" s="21"/>
      <c r="J1648" s="21"/>
      <c r="K1648" s="21"/>
      <c r="L1648" s="21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  <c r="AA1648" s="7"/>
      <c r="AB1648" s="7"/>
      <c r="AC1648" s="7"/>
      <c r="AD1648" s="7"/>
      <c r="AE1648" s="7"/>
    </row>
    <row r="1649">
      <c r="A1649" s="7"/>
      <c r="B1649" s="21"/>
      <c r="C1649" s="21"/>
      <c r="D1649" s="21"/>
      <c r="E1649" s="21"/>
      <c r="F1649" s="21"/>
      <c r="G1649" s="21"/>
      <c r="H1649" s="21"/>
      <c r="I1649" s="21"/>
      <c r="J1649" s="21"/>
      <c r="K1649" s="21"/>
      <c r="L1649" s="21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  <c r="AB1649" s="7"/>
      <c r="AC1649" s="7"/>
      <c r="AD1649" s="7"/>
      <c r="AE1649" s="7"/>
    </row>
    <row r="1650">
      <c r="A1650" s="7"/>
      <c r="B1650" s="21"/>
      <c r="C1650" s="21"/>
      <c r="D1650" s="21"/>
      <c r="E1650" s="21"/>
      <c r="F1650" s="21"/>
      <c r="G1650" s="21"/>
      <c r="H1650" s="21"/>
      <c r="I1650" s="21"/>
      <c r="J1650" s="21"/>
      <c r="K1650" s="21"/>
      <c r="L1650" s="21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  <c r="AB1650" s="7"/>
      <c r="AC1650" s="7"/>
      <c r="AD1650" s="7"/>
      <c r="AE1650" s="7"/>
    </row>
    <row r="1651">
      <c r="A1651" s="7"/>
      <c r="B1651" s="21"/>
      <c r="C1651" s="21"/>
      <c r="D1651" s="21"/>
      <c r="E1651" s="21"/>
      <c r="F1651" s="21"/>
      <c r="G1651" s="21"/>
      <c r="H1651" s="21"/>
      <c r="I1651" s="21"/>
      <c r="J1651" s="21"/>
      <c r="K1651" s="21"/>
      <c r="L1651" s="21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  <c r="AB1651" s="7"/>
      <c r="AC1651" s="7"/>
      <c r="AD1651" s="7"/>
      <c r="AE1651" s="7"/>
    </row>
    <row r="1652">
      <c r="A1652" s="7"/>
      <c r="B1652" s="21"/>
      <c r="C1652" s="21"/>
      <c r="D1652" s="21"/>
      <c r="E1652" s="21"/>
      <c r="F1652" s="21"/>
      <c r="G1652" s="21"/>
      <c r="H1652" s="21"/>
      <c r="I1652" s="21"/>
      <c r="J1652" s="21"/>
      <c r="K1652" s="21"/>
      <c r="L1652" s="21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  <c r="AB1652" s="7"/>
      <c r="AC1652" s="7"/>
      <c r="AD1652" s="7"/>
      <c r="AE1652" s="7"/>
    </row>
    <row r="1653">
      <c r="A1653" s="7"/>
      <c r="B1653" s="21"/>
      <c r="C1653" s="21"/>
      <c r="D1653" s="21"/>
      <c r="E1653" s="21"/>
      <c r="F1653" s="21"/>
      <c r="G1653" s="21"/>
      <c r="H1653" s="21"/>
      <c r="I1653" s="21"/>
      <c r="J1653" s="21"/>
      <c r="K1653" s="21"/>
      <c r="L1653" s="21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  <c r="AA1653" s="7"/>
      <c r="AB1653" s="7"/>
      <c r="AC1653" s="7"/>
      <c r="AD1653" s="7"/>
      <c r="AE1653" s="7"/>
    </row>
    <row r="1654">
      <c r="A1654" s="7"/>
      <c r="B1654" s="21"/>
      <c r="C1654" s="21"/>
      <c r="D1654" s="21"/>
      <c r="E1654" s="21"/>
      <c r="F1654" s="21"/>
      <c r="G1654" s="21"/>
      <c r="H1654" s="21"/>
      <c r="I1654" s="21"/>
      <c r="J1654" s="21"/>
      <c r="K1654" s="21"/>
      <c r="L1654" s="21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  <c r="AA1654" s="7"/>
      <c r="AB1654" s="7"/>
      <c r="AC1654" s="7"/>
      <c r="AD1654" s="7"/>
      <c r="AE1654" s="7"/>
    </row>
    <row r="1655">
      <c r="A1655" s="7"/>
      <c r="B1655" s="21"/>
      <c r="C1655" s="21"/>
      <c r="D1655" s="21"/>
      <c r="E1655" s="21"/>
      <c r="F1655" s="21"/>
      <c r="G1655" s="21"/>
      <c r="H1655" s="21"/>
      <c r="I1655" s="21"/>
      <c r="J1655" s="21"/>
      <c r="K1655" s="21"/>
      <c r="L1655" s="21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  <c r="AA1655" s="7"/>
      <c r="AB1655" s="7"/>
      <c r="AC1655" s="7"/>
      <c r="AD1655" s="7"/>
      <c r="AE1655" s="7"/>
    </row>
    <row r="1656">
      <c r="A1656" s="7"/>
      <c r="B1656" s="21"/>
      <c r="C1656" s="21"/>
      <c r="D1656" s="21"/>
      <c r="E1656" s="21"/>
      <c r="F1656" s="21"/>
      <c r="G1656" s="21"/>
      <c r="H1656" s="21"/>
      <c r="I1656" s="21"/>
      <c r="J1656" s="21"/>
      <c r="K1656" s="21"/>
      <c r="L1656" s="21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  <c r="AA1656" s="7"/>
      <c r="AB1656" s="7"/>
      <c r="AC1656" s="7"/>
      <c r="AD1656" s="7"/>
      <c r="AE1656" s="7"/>
    </row>
    <row r="1657">
      <c r="A1657" s="7"/>
      <c r="B1657" s="21"/>
      <c r="C1657" s="21"/>
      <c r="D1657" s="21"/>
      <c r="E1657" s="21"/>
      <c r="F1657" s="21"/>
      <c r="G1657" s="21"/>
      <c r="H1657" s="21"/>
      <c r="I1657" s="21"/>
      <c r="J1657" s="21"/>
      <c r="K1657" s="21"/>
      <c r="L1657" s="21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  <c r="AA1657" s="7"/>
      <c r="AB1657" s="7"/>
      <c r="AC1657" s="7"/>
      <c r="AD1657" s="7"/>
      <c r="AE1657" s="7"/>
    </row>
    <row r="1658">
      <c r="A1658" s="7"/>
      <c r="B1658" s="21"/>
      <c r="C1658" s="21"/>
      <c r="D1658" s="21"/>
      <c r="E1658" s="21"/>
      <c r="F1658" s="21"/>
      <c r="G1658" s="21"/>
      <c r="H1658" s="21"/>
      <c r="I1658" s="21"/>
      <c r="J1658" s="21"/>
      <c r="K1658" s="21"/>
      <c r="L1658" s="21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  <c r="AA1658" s="7"/>
      <c r="AB1658" s="7"/>
      <c r="AC1658" s="7"/>
      <c r="AD1658" s="7"/>
      <c r="AE1658" s="7"/>
    </row>
    <row r="1659">
      <c r="A1659" s="7"/>
      <c r="B1659" s="21"/>
      <c r="C1659" s="21"/>
      <c r="D1659" s="21"/>
      <c r="E1659" s="21"/>
      <c r="F1659" s="21"/>
      <c r="G1659" s="21"/>
      <c r="H1659" s="21"/>
      <c r="I1659" s="21"/>
      <c r="J1659" s="21"/>
      <c r="K1659" s="21"/>
      <c r="L1659" s="21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Z1659" s="7"/>
      <c r="AA1659" s="7"/>
      <c r="AB1659" s="7"/>
      <c r="AC1659" s="7"/>
      <c r="AD1659" s="7"/>
      <c r="AE1659" s="7"/>
    </row>
    <row r="1660">
      <c r="A1660" s="7"/>
      <c r="B1660" s="21"/>
      <c r="C1660" s="21"/>
      <c r="D1660" s="21"/>
      <c r="E1660" s="21"/>
      <c r="F1660" s="21"/>
      <c r="G1660" s="21"/>
      <c r="H1660" s="21"/>
      <c r="I1660" s="21"/>
      <c r="J1660" s="21"/>
      <c r="K1660" s="21"/>
      <c r="L1660" s="21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  <c r="AA1660" s="7"/>
      <c r="AB1660" s="7"/>
      <c r="AC1660" s="7"/>
      <c r="AD1660" s="7"/>
      <c r="AE1660" s="7"/>
    </row>
    <row r="1661">
      <c r="A1661" s="7"/>
      <c r="B1661" s="21"/>
      <c r="C1661" s="21"/>
      <c r="D1661" s="21"/>
      <c r="E1661" s="21"/>
      <c r="F1661" s="21"/>
      <c r="G1661" s="21"/>
      <c r="H1661" s="21"/>
      <c r="I1661" s="21"/>
      <c r="J1661" s="21"/>
      <c r="K1661" s="21"/>
      <c r="L1661" s="21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  <c r="AA1661" s="7"/>
      <c r="AB1661" s="7"/>
      <c r="AC1661" s="7"/>
      <c r="AD1661" s="7"/>
      <c r="AE1661" s="7"/>
    </row>
    <row r="1662">
      <c r="A1662" s="7"/>
      <c r="B1662" s="21"/>
      <c r="C1662" s="21"/>
      <c r="D1662" s="21"/>
      <c r="E1662" s="21"/>
      <c r="F1662" s="21"/>
      <c r="G1662" s="21"/>
      <c r="H1662" s="21"/>
      <c r="I1662" s="21"/>
      <c r="J1662" s="21"/>
      <c r="K1662" s="21"/>
      <c r="L1662" s="21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  <c r="AA1662" s="7"/>
      <c r="AB1662" s="7"/>
      <c r="AC1662" s="7"/>
      <c r="AD1662" s="7"/>
      <c r="AE1662" s="7"/>
    </row>
    <row r="1663">
      <c r="A1663" s="7"/>
      <c r="B1663" s="21"/>
      <c r="C1663" s="21"/>
      <c r="D1663" s="21"/>
      <c r="E1663" s="21"/>
      <c r="F1663" s="21"/>
      <c r="G1663" s="21"/>
      <c r="H1663" s="21"/>
      <c r="I1663" s="21"/>
      <c r="J1663" s="21"/>
      <c r="K1663" s="21"/>
      <c r="L1663" s="21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  <c r="AA1663" s="7"/>
      <c r="AB1663" s="7"/>
      <c r="AC1663" s="7"/>
      <c r="AD1663" s="7"/>
      <c r="AE1663" s="7"/>
    </row>
    <row r="1664">
      <c r="A1664" s="7"/>
      <c r="B1664" s="21"/>
      <c r="C1664" s="21"/>
      <c r="D1664" s="21"/>
      <c r="E1664" s="21"/>
      <c r="F1664" s="21"/>
      <c r="G1664" s="21"/>
      <c r="H1664" s="21"/>
      <c r="I1664" s="21"/>
      <c r="J1664" s="21"/>
      <c r="K1664" s="21"/>
      <c r="L1664" s="21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  <c r="AA1664" s="7"/>
      <c r="AB1664" s="7"/>
      <c r="AC1664" s="7"/>
      <c r="AD1664" s="7"/>
      <c r="AE1664" s="7"/>
    </row>
    <row r="1665">
      <c r="A1665" s="7"/>
      <c r="B1665" s="21"/>
      <c r="C1665" s="21"/>
      <c r="D1665" s="21"/>
      <c r="E1665" s="21"/>
      <c r="F1665" s="21"/>
      <c r="G1665" s="21"/>
      <c r="H1665" s="21"/>
      <c r="I1665" s="21"/>
      <c r="J1665" s="21"/>
      <c r="K1665" s="21"/>
      <c r="L1665" s="21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Z1665" s="7"/>
      <c r="AA1665" s="7"/>
      <c r="AB1665" s="7"/>
      <c r="AC1665" s="7"/>
      <c r="AD1665" s="7"/>
      <c r="AE1665" s="7"/>
    </row>
    <row r="1666">
      <c r="A1666" s="7"/>
      <c r="B1666" s="21"/>
      <c r="C1666" s="21"/>
      <c r="D1666" s="21"/>
      <c r="E1666" s="21"/>
      <c r="F1666" s="21"/>
      <c r="G1666" s="21"/>
      <c r="H1666" s="21"/>
      <c r="I1666" s="21"/>
      <c r="J1666" s="21"/>
      <c r="K1666" s="21"/>
      <c r="L1666" s="21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Z1666" s="7"/>
      <c r="AA1666" s="7"/>
      <c r="AB1666" s="7"/>
      <c r="AC1666" s="7"/>
      <c r="AD1666" s="7"/>
      <c r="AE1666" s="7"/>
    </row>
    <row r="1667">
      <c r="A1667" s="7"/>
      <c r="B1667" s="21"/>
      <c r="C1667" s="21"/>
      <c r="D1667" s="21"/>
      <c r="E1667" s="21"/>
      <c r="F1667" s="21"/>
      <c r="G1667" s="21"/>
      <c r="H1667" s="21"/>
      <c r="I1667" s="21"/>
      <c r="J1667" s="21"/>
      <c r="K1667" s="21"/>
      <c r="L1667" s="21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  <c r="AA1667" s="7"/>
      <c r="AB1667" s="7"/>
      <c r="AC1667" s="7"/>
      <c r="AD1667" s="7"/>
      <c r="AE1667" s="7"/>
    </row>
    <row r="1668">
      <c r="A1668" s="7"/>
      <c r="B1668" s="21"/>
      <c r="C1668" s="21"/>
      <c r="D1668" s="21"/>
      <c r="E1668" s="21"/>
      <c r="F1668" s="21"/>
      <c r="G1668" s="21"/>
      <c r="H1668" s="21"/>
      <c r="I1668" s="21"/>
      <c r="J1668" s="21"/>
      <c r="K1668" s="21"/>
      <c r="L1668" s="21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  <c r="AA1668" s="7"/>
      <c r="AB1668" s="7"/>
      <c r="AC1668" s="7"/>
      <c r="AD1668" s="7"/>
      <c r="AE1668" s="7"/>
    </row>
    <row r="1669">
      <c r="A1669" s="7"/>
      <c r="B1669" s="21"/>
      <c r="C1669" s="21"/>
      <c r="D1669" s="21"/>
      <c r="E1669" s="21"/>
      <c r="F1669" s="21"/>
      <c r="G1669" s="21"/>
      <c r="H1669" s="21"/>
      <c r="I1669" s="21"/>
      <c r="J1669" s="21"/>
      <c r="K1669" s="21"/>
      <c r="L1669" s="21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  <c r="AA1669" s="7"/>
      <c r="AB1669" s="7"/>
      <c r="AC1669" s="7"/>
      <c r="AD1669" s="7"/>
      <c r="AE1669" s="7"/>
    </row>
    <row r="1670">
      <c r="A1670" s="7"/>
      <c r="B1670" s="21"/>
      <c r="C1670" s="21"/>
      <c r="D1670" s="21"/>
      <c r="E1670" s="21"/>
      <c r="F1670" s="21"/>
      <c r="G1670" s="21"/>
      <c r="H1670" s="21"/>
      <c r="I1670" s="21"/>
      <c r="J1670" s="21"/>
      <c r="K1670" s="21"/>
      <c r="L1670" s="21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  <c r="AA1670" s="7"/>
      <c r="AB1670" s="7"/>
      <c r="AC1670" s="7"/>
      <c r="AD1670" s="7"/>
      <c r="AE1670" s="7"/>
    </row>
    <row r="1671">
      <c r="A1671" s="7"/>
      <c r="B1671" s="21"/>
      <c r="C1671" s="21"/>
      <c r="D1671" s="21"/>
      <c r="E1671" s="21"/>
      <c r="F1671" s="21"/>
      <c r="G1671" s="21"/>
      <c r="H1671" s="21"/>
      <c r="I1671" s="21"/>
      <c r="J1671" s="21"/>
      <c r="K1671" s="21"/>
      <c r="L1671" s="21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7"/>
      <c r="Z1671" s="7"/>
      <c r="AA1671" s="7"/>
      <c r="AB1671" s="7"/>
      <c r="AC1671" s="7"/>
      <c r="AD1671" s="7"/>
      <c r="AE1671" s="7"/>
    </row>
    <row r="1672">
      <c r="A1672" s="7"/>
      <c r="B1672" s="21"/>
      <c r="C1672" s="21"/>
      <c r="D1672" s="21"/>
      <c r="E1672" s="21"/>
      <c r="F1672" s="21"/>
      <c r="G1672" s="21"/>
      <c r="H1672" s="21"/>
      <c r="I1672" s="21"/>
      <c r="J1672" s="21"/>
      <c r="K1672" s="21"/>
      <c r="L1672" s="21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Z1672" s="7"/>
      <c r="AA1672" s="7"/>
      <c r="AB1672" s="7"/>
      <c r="AC1672" s="7"/>
      <c r="AD1672" s="7"/>
      <c r="AE1672" s="7"/>
    </row>
    <row r="1673">
      <c r="A1673" s="7"/>
      <c r="B1673" s="21"/>
      <c r="C1673" s="21"/>
      <c r="D1673" s="21"/>
      <c r="E1673" s="21"/>
      <c r="F1673" s="21"/>
      <c r="G1673" s="21"/>
      <c r="H1673" s="21"/>
      <c r="I1673" s="21"/>
      <c r="J1673" s="21"/>
      <c r="K1673" s="21"/>
      <c r="L1673" s="21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  <c r="AA1673" s="7"/>
      <c r="AB1673" s="7"/>
      <c r="AC1673" s="7"/>
      <c r="AD1673" s="7"/>
      <c r="AE1673" s="7"/>
    </row>
    <row r="1674">
      <c r="A1674" s="7"/>
      <c r="B1674" s="21"/>
      <c r="C1674" s="21"/>
      <c r="D1674" s="21"/>
      <c r="E1674" s="21"/>
      <c r="F1674" s="21"/>
      <c r="G1674" s="21"/>
      <c r="H1674" s="21"/>
      <c r="I1674" s="21"/>
      <c r="J1674" s="21"/>
      <c r="K1674" s="21"/>
      <c r="L1674" s="21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  <c r="AA1674" s="7"/>
      <c r="AB1674" s="7"/>
      <c r="AC1674" s="7"/>
      <c r="AD1674" s="7"/>
      <c r="AE1674" s="7"/>
    </row>
    <row r="1675">
      <c r="A1675" s="7"/>
      <c r="B1675" s="21"/>
      <c r="C1675" s="21"/>
      <c r="D1675" s="21"/>
      <c r="E1675" s="21"/>
      <c r="F1675" s="21"/>
      <c r="G1675" s="21"/>
      <c r="H1675" s="21"/>
      <c r="I1675" s="21"/>
      <c r="J1675" s="21"/>
      <c r="K1675" s="21"/>
      <c r="L1675" s="21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  <c r="AA1675" s="7"/>
      <c r="AB1675" s="7"/>
      <c r="AC1675" s="7"/>
      <c r="AD1675" s="7"/>
      <c r="AE1675" s="7"/>
    </row>
    <row r="1676">
      <c r="A1676" s="7"/>
      <c r="B1676" s="21"/>
      <c r="C1676" s="21"/>
      <c r="D1676" s="21"/>
      <c r="E1676" s="21"/>
      <c r="F1676" s="21"/>
      <c r="G1676" s="21"/>
      <c r="H1676" s="21"/>
      <c r="I1676" s="21"/>
      <c r="J1676" s="21"/>
      <c r="K1676" s="21"/>
      <c r="L1676" s="21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  <c r="AA1676" s="7"/>
      <c r="AB1676" s="7"/>
      <c r="AC1676" s="7"/>
      <c r="AD1676" s="7"/>
      <c r="AE1676" s="7"/>
    </row>
    <row r="1677">
      <c r="A1677" s="7"/>
      <c r="B1677" s="21"/>
      <c r="C1677" s="21"/>
      <c r="D1677" s="21"/>
      <c r="E1677" s="21"/>
      <c r="F1677" s="21"/>
      <c r="G1677" s="21"/>
      <c r="H1677" s="21"/>
      <c r="I1677" s="21"/>
      <c r="J1677" s="21"/>
      <c r="K1677" s="21"/>
      <c r="L1677" s="21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7"/>
      <c r="Z1677" s="7"/>
      <c r="AA1677" s="7"/>
      <c r="AB1677" s="7"/>
      <c r="AC1677" s="7"/>
      <c r="AD1677" s="7"/>
      <c r="AE1677" s="7"/>
    </row>
    <row r="1678">
      <c r="A1678" s="7"/>
      <c r="B1678" s="21"/>
      <c r="C1678" s="21"/>
      <c r="D1678" s="21"/>
      <c r="E1678" s="21"/>
      <c r="F1678" s="21"/>
      <c r="G1678" s="21"/>
      <c r="H1678" s="21"/>
      <c r="I1678" s="21"/>
      <c r="J1678" s="21"/>
      <c r="K1678" s="21"/>
      <c r="L1678" s="21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Z1678" s="7"/>
      <c r="AA1678" s="7"/>
      <c r="AB1678" s="7"/>
      <c r="AC1678" s="7"/>
      <c r="AD1678" s="7"/>
      <c r="AE1678" s="7"/>
    </row>
    <row r="1679">
      <c r="A1679" s="7"/>
      <c r="B1679" s="21"/>
      <c r="C1679" s="21"/>
      <c r="D1679" s="21"/>
      <c r="E1679" s="21"/>
      <c r="F1679" s="21"/>
      <c r="G1679" s="21"/>
      <c r="H1679" s="21"/>
      <c r="I1679" s="21"/>
      <c r="J1679" s="21"/>
      <c r="K1679" s="21"/>
      <c r="L1679" s="21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  <c r="AA1679" s="7"/>
      <c r="AB1679" s="7"/>
      <c r="AC1679" s="7"/>
      <c r="AD1679" s="7"/>
      <c r="AE1679" s="7"/>
    </row>
    <row r="1680">
      <c r="A1680" s="7"/>
      <c r="B1680" s="21"/>
      <c r="C1680" s="21"/>
      <c r="D1680" s="21"/>
      <c r="E1680" s="21"/>
      <c r="F1680" s="21"/>
      <c r="G1680" s="21"/>
      <c r="H1680" s="21"/>
      <c r="I1680" s="21"/>
      <c r="J1680" s="21"/>
      <c r="K1680" s="21"/>
      <c r="L1680" s="21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  <c r="AA1680" s="7"/>
      <c r="AB1680" s="7"/>
      <c r="AC1680" s="7"/>
      <c r="AD1680" s="7"/>
      <c r="AE1680" s="7"/>
    </row>
    <row r="1681">
      <c r="A1681" s="7"/>
      <c r="B1681" s="21"/>
      <c r="C1681" s="21"/>
      <c r="D1681" s="21"/>
      <c r="E1681" s="21"/>
      <c r="F1681" s="21"/>
      <c r="G1681" s="21"/>
      <c r="H1681" s="21"/>
      <c r="I1681" s="21"/>
      <c r="J1681" s="21"/>
      <c r="K1681" s="21"/>
      <c r="L1681" s="21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  <c r="AA1681" s="7"/>
      <c r="AB1681" s="7"/>
      <c r="AC1681" s="7"/>
      <c r="AD1681" s="7"/>
      <c r="AE1681" s="7"/>
    </row>
    <row r="1682">
      <c r="A1682" s="7"/>
      <c r="B1682" s="21"/>
      <c r="C1682" s="21"/>
      <c r="D1682" s="21"/>
      <c r="E1682" s="21"/>
      <c r="F1682" s="21"/>
      <c r="G1682" s="21"/>
      <c r="H1682" s="21"/>
      <c r="I1682" s="21"/>
      <c r="J1682" s="21"/>
      <c r="K1682" s="21"/>
      <c r="L1682" s="21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  <c r="AA1682" s="7"/>
      <c r="AB1682" s="7"/>
      <c r="AC1682" s="7"/>
      <c r="AD1682" s="7"/>
      <c r="AE1682" s="7"/>
    </row>
    <row r="1683">
      <c r="A1683" s="7"/>
      <c r="B1683" s="21"/>
      <c r="C1683" s="21"/>
      <c r="D1683" s="21"/>
      <c r="E1683" s="21"/>
      <c r="F1683" s="21"/>
      <c r="G1683" s="21"/>
      <c r="H1683" s="21"/>
      <c r="I1683" s="21"/>
      <c r="J1683" s="21"/>
      <c r="K1683" s="21"/>
      <c r="L1683" s="21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Z1683" s="7"/>
      <c r="AA1683" s="7"/>
      <c r="AB1683" s="7"/>
      <c r="AC1683" s="7"/>
      <c r="AD1683" s="7"/>
      <c r="AE1683" s="7"/>
    </row>
    <row r="1684">
      <c r="A1684" s="7"/>
      <c r="B1684" s="21"/>
      <c r="C1684" s="21"/>
      <c r="D1684" s="21"/>
      <c r="E1684" s="21"/>
      <c r="F1684" s="21"/>
      <c r="G1684" s="21"/>
      <c r="H1684" s="21"/>
      <c r="I1684" s="21"/>
      <c r="J1684" s="21"/>
      <c r="K1684" s="21"/>
      <c r="L1684" s="21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  <c r="AA1684" s="7"/>
      <c r="AB1684" s="7"/>
      <c r="AC1684" s="7"/>
      <c r="AD1684" s="7"/>
      <c r="AE1684" s="7"/>
    </row>
    <row r="1685">
      <c r="A1685" s="7"/>
      <c r="B1685" s="21"/>
      <c r="C1685" s="21"/>
      <c r="D1685" s="21"/>
      <c r="E1685" s="21"/>
      <c r="F1685" s="21"/>
      <c r="G1685" s="21"/>
      <c r="H1685" s="21"/>
      <c r="I1685" s="21"/>
      <c r="J1685" s="21"/>
      <c r="K1685" s="21"/>
      <c r="L1685" s="21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  <c r="AA1685" s="7"/>
      <c r="AB1685" s="7"/>
      <c r="AC1685" s="7"/>
      <c r="AD1685" s="7"/>
      <c r="AE1685" s="7"/>
    </row>
    <row r="1686">
      <c r="A1686" s="7"/>
      <c r="B1686" s="21"/>
      <c r="C1686" s="21"/>
      <c r="D1686" s="21"/>
      <c r="E1686" s="21"/>
      <c r="F1686" s="21"/>
      <c r="G1686" s="21"/>
      <c r="H1686" s="21"/>
      <c r="I1686" s="21"/>
      <c r="J1686" s="21"/>
      <c r="K1686" s="21"/>
      <c r="L1686" s="21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  <c r="AA1686" s="7"/>
      <c r="AB1686" s="7"/>
      <c r="AC1686" s="7"/>
      <c r="AD1686" s="7"/>
      <c r="AE1686" s="7"/>
    </row>
    <row r="1687">
      <c r="A1687" s="7"/>
      <c r="B1687" s="21"/>
      <c r="C1687" s="21"/>
      <c r="D1687" s="21"/>
      <c r="E1687" s="21"/>
      <c r="F1687" s="21"/>
      <c r="G1687" s="21"/>
      <c r="H1687" s="21"/>
      <c r="I1687" s="21"/>
      <c r="J1687" s="21"/>
      <c r="K1687" s="21"/>
      <c r="L1687" s="21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  <c r="AB1687" s="7"/>
      <c r="AC1687" s="7"/>
      <c r="AD1687" s="7"/>
      <c r="AE1687" s="7"/>
    </row>
    <row r="1688">
      <c r="A1688" s="7"/>
      <c r="B1688" s="21"/>
      <c r="C1688" s="21"/>
      <c r="D1688" s="21"/>
      <c r="E1688" s="21"/>
      <c r="F1688" s="21"/>
      <c r="G1688" s="21"/>
      <c r="H1688" s="21"/>
      <c r="I1688" s="21"/>
      <c r="J1688" s="21"/>
      <c r="K1688" s="21"/>
      <c r="L1688" s="21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  <c r="AB1688" s="7"/>
      <c r="AC1688" s="7"/>
      <c r="AD1688" s="7"/>
      <c r="AE1688" s="7"/>
    </row>
    <row r="1689">
      <c r="A1689" s="7"/>
      <c r="B1689" s="21"/>
      <c r="C1689" s="21"/>
      <c r="D1689" s="21"/>
      <c r="E1689" s="21"/>
      <c r="F1689" s="21"/>
      <c r="G1689" s="21"/>
      <c r="H1689" s="21"/>
      <c r="I1689" s="21"/>
      <c r="J1689" s="21"/>
      <c r="K1689" s="21"/>
      <c r="L1689" s="21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  <c r="AB1689" s="7"/>
      <c r="AC1689" s="7"/>
      <c r="AD1689" s="7"/>
      <c r="AE1689" s="7"/>
    </row>
    <row r="1690">
      <c r="A1690" s="7"/>
      <c r="B1690" s="21"/>
      <c r="C1690" s="21"/>
      <c r="D1690" s="21"/>
      <c r="E1690" s="21"/>
      <c r="F1690" s="21"/>
      <c r="G1690" s="21"/>
      <c r="H1690" s="21"/>
      <c r="I1690" s="21"/>
      <c r="J1690" s="21"/>
      <c r="K1690" s="21"/>
      <c r="L1690" s="21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  <c r="AA1690" s="7"/>
      <c r="AB1690" s="7"/>
      <c r="AC1690" s="7"/>
      <c r="AD1690" s="7"/>
      <c r="AE1690" s="7"/>
    </row>
    <row r="1691">
      <c r="A1691" s="7"/>
      <c r="B1691" s="21"/>
      <c r="C1691" s="21"/>
      <c r="D1691" s="21"/>
      <c r="E1691" s="21"/>
      <c r="F1691" s="21"/>
      <c r="G1691" s="21"/>
      <c r="H1691" s="21"/>
      <c r="I1691" s="21"/>
      <c r="J1691" s="21"/>
      <c r="K1691" s="21"/>
      <c r="L1691" s="21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  <c r="AB1691" s="7"/>
      <c r="AC1691" s="7"/>
      <c r="AD1691" s="7"/>
      <c r="AE1691" s="7"/>
    </row>
    <row r="1692">
      <c r="A1692" s="7"/>
      <c r="B1692" s="21"/>
      <c r="C1692" s="21"/>
      <c r="D1692" s="21"/>
      <c r="E1692" s="21"/>
      <c r="F1692" s="21"/>
      <c r="G1692" s="21"/>
      <c r="H1692" s="21"/>
      <c r="I1692" s="21"/>
      <c r="J1692" s="21"/>
      <c r="K1692" s="21"/>
      <c r="L1692" s="21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  <c r="AB1692" s="7"/>
      <c r="AC1692" s="7"/>
      <c r="AD1692" s="7"/>
      <c r="AE1692" s="7"/>
    </row>
    <row r="1693">
      <c r="A1693" s="7"/>
      <c r="B1693" s="21"/>
      <c r="C1693" s="21"/>
      <c r="D1693" s="21"/>
      <c r="E1693" s="21"/>
      <c r="F1693" s="21"/>
      <c r="G1693" s="21"/>
      <c r="H1693" s="21"/>
      <c r="I1693" s="21"/>
      <c r="J1693" s="21"/>
      <c r="K1693" s="21"/>
      <c r="L1693" s="21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  <c r="AB1693" s="7"/>
      <c r="AC1693" s="7"/>
      <c r="AD1693" s="7"/>
      <c r="AE1693" s="7"/>
    </row>
    <row r="1694">
      <c r="A1694" s="7"/>
      <c r="B1694" s="21"/>
      <c r="C1694" s="21"/>
      <c r="D1694" s="21"/>
      <c r="E1694" s="21"/>
      <c r="F1694" s="21"/>
      <c r="G1694" s="21"/>
      <c r="H1694" s="21"/>
      <c r="I1694" s="21"/>
      <c r="J1694" s="21"/>
      <c r="K1694" s="21"/>
      <c r="L1694" s="21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  <c r="AB1694" s="7"/>
      <c r="AC1694" s="7"/>
      <c r="AD1694" s="7"/>
      <c r="AE1694" s="7"/>
    </row>
    <row r="1695">
      <c r="A1695" s="7"/>
      <c r="B1695" s="21"/>
      <c r="C1695" s="21"/>
      <c r="D1695" s="21"/>
      <c r="E1695" s="21"/>
      <c r="F1695" s="21"/>
      <c r="G1695" s="21"/>
      <c r="H1695" s="21"/>
      <c r="I1695" s="21"/>
      <c r="J1695" s="21"/>
      <c r="K1695" s="21"/>
      <c r="L1695" s="21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  <c r="AA1695" s="7"/>
      <c r="AB1695" s="7"/>
      <c r="AC1695" s="7"/>
      <c r="AD1695" s="7"/>
      <c r="AE1695" s="7"/>
    </row>
    <row r="1696">
      <c r="A1696" s="7"/>
      <c r="B1696" s="21"/>
      <c r="C1696" s="21"/>
      <c r="D1696" s="21"/>
      <c r="E1696" s="21"/>
      <c r="F1696" s="21"/>
      <c r="G1696" s="21"/>
      <c r="H1696" s="21"/>
      <c r="I1696" s="21"/>
      <c r="J1696" s="21"/>
      <c r="K1696" s="21"/>
      <c r="L1696" s="21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  <c r="AA1696" s="7"/>
      <c r="AB1696" s="7"/>
      <c r="AC1696" s="7"/>
      <c r="AD1696" s="7"/>
      <c r="AE1696" s="7"/>
    </row>
    <row r="1697">
      <c r="A1697" s="7"/>
      <c r="B1697" s="21"/>
      <c r="C1697" s="21"/>
      <c r="D1697" s="21"/>
      <c r="E1697" s="21"/>
      <c r="F1697" s="21"/>
      <c r="G1697" s="21"/>
      <c r="H1697" s="21"/>
      <c r="I1697" s="21"/>
      <c r="J1697" s="21"/>
      <c r="K1697" s="21"/>
      <c r="L1697" s="21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  <c r="AB1697" s="7"/>
      <c r="AC1697" s="7"/>
      <c r="AD1697" s="7"/>
      <c r="AE1697" s="7"/>
    </row>
    <row r="1698">
      <c r="A1698" s="7"/>
      <c r="B1698" s="21"/>
      <c r="C1698" s="21"/>
      <c r="D1698" s="21"/>
      <c r="E1698" s="21"/>
      <c r="F1698" s="21"/>
      <c r="G1698" s="21"/>
      <c r="H1698" s="21"/>
      <c r="I1698" s="21"/>
      <c r="J1698" s="21"/>
      <c r="K1698" s="21"/>
      <c r="L1698" s="21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  <c r="AB1698" s="7"/>
      <c r="AC1698" s="7"/>
      <c r="AD1698" s="7"/>
      <c r="AE1698" s="7"/>
    </row>
    <row r="1699">
      <c r="A1699" s="7"/>
      <c r="B1699" s="21"/>
      <c r="C1699" s="21"/>
      <c r="D1699" s="21"/>
      <c r="E1699" s="21"/>
      <c r="F1699" s="21"/>
      <c r="G1699" s="21"/>
      <c r="H1699" s="21"/>
      <c r="I1699" s="21"/>
      <c r="J1699" s="21"/>
      <c r="K1699" s="21"/>
      <c r="L1699" s="21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  <c r="AA1699" s="7"/>
      <c r="AB1699" s="7"/>
      <c r="AC1699" s="7"/>
      <c r="AD1699" s="7"/>
      <c r="AE1699" s="7"/>
    </row>
    <row r="1700">
      <c r="A1700" s="7"/>
      <c r="B1700" s="21"/>
      <c r="C1700" s="21"/>
      <c r="D1700" s="21"/>
      <c r="E1700" s="21"/>
      <c r="F1700" s="21"/>
      <c r="G1700" s="21"/>
      <c r="H1700" s="21"/>
      <c r="I1700" s="21"/>
      <c r="J1700" s="21"/>
      <c r="K1700" s="21"/>
      <c r="L1700" s="21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  <c r="AB1700" s="7"/>
      <c r="AC1700" s="7"/>
      <c r="AD1700" s="7"/>
      <c r="AE1700" s="7"/>
    </row>
    <row r="1701">
      <c r="A1701" s="7"/>
      <c r="B1701" s="21"/>
      <c r="C1701" s="21"/>
      <c r="D1701" s="21"/>
      <c r="E1701" s="21"/>
      <c r="F1701" s="21"/>
      <c r="G1701" s="21"/>
      <c r="H1701" s="21"/>
      <c r="I1701" s="21"/>
      <c r="J1701" s="21"/>
      <c r="K1701" s="21"/>
      <c r="L1701" s="21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  <c r="Z1701" s="7"/>
      <c r="AA1701" s="7"/>
      <c r="AB1701" s="7"/>
      <c r="AC1701" s="7"/>
      <c r="AD1701" s="7"/>
      <c r="AE1701" s="7"/>
    </row>
    <row r="1702">
      <c r="A1702" s="7"/>
      <c r="B1702" s="21"/>
      <c r="C1702" s="21"/>
      <c r="D1702" s="21"/>
      <c r="E1702" s="21"/>
      <c r="F1702" s="21"/>
      <c r="G1702" s="21"/>
      <c r="H1702" s="21"/>
      <c r="I1702" s="21"/>
      <c r="J1702" s="21"/>
      <c r="K1702" s="21"/>
      <c r="L1702" s="21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  <c r="AA1702" s="7"/>
      <c r="AB1702" s="7"/>
      <c r="AC1702" s="7"/>
      <c r="AD1702" s="7"/>
      <c r="AE1702" s="7"/>
    </row>
    <row r="1703">
      <c r="A1703" s="7"/>
      <c r="B1703" s="21"/>
      <c r="C1703" s="21"/>
      <c r="D1703" s="21"/>
      <c r="E1703" s="21"/>
      <c r="F1703" s="21"/>
      <c r="G1703" s="21"/>
      <c r="H1703" s="21"/>
      <c r="I1703" s="21"/>
      <c r="J1703" s="21"/>
      <c r="K1703" s="21"/>
      <c r="L1703" s="21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  <c r="AA1703" s="7"/>
      <c r="AB1703" s="7"/>
      <c r="AC1703" s="7"/>
      <c r="AD1703" s="7"/>
      <c r="AE1703" s="7"/>
    </row>
    <row r="1704">
      <c r="A1704" s="7"/>
      <c r="B1704" s="21"/>
      <c r="C1704" s="21"/>
      <c r="D1704" s="21"/>
      <c r="E1704" s="21"/>
      <c r="F1704" s="21"/>
      <c r="G1704" s="21"/>
      <c r="H1704" s="21"/>
      <c r="I1704" s="21"/>
      <c r="J1704" s="21"/>
      <c r="K1704" s="21"/>
      <c r="L1704" s="21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  <c r="AA1704" s="7"/>
      <c r="AB1704" s="7"/>
      <c r="AC1704" s="7"/>
      <c r="AD1704" s="7"/>
      <c r="AE1704" s="7"/>
    </row>
    <row r="1705">
      <c r="A1705" s="7"/>
      <c r="B1705" s="21"/>
      <c r="C1705" s="21"/>
      <c r="D1705" s="21"/>
      <c r="E1705" s="21"/>
      <c r="F1705" s="21"/>
      <c r="G1705" s="21"/>
      <c r="H1705" s="21"/>
      <c r="I1705" s="21"/>
      <c r="J1705" s="21"/>
      <c r="K1705" s="21"/>
      <c r="L1705" s="21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  <c r="AA1705" s="7"/>
      <c r="AB1705" s="7"/>
      <c r="AC1705" s="7"/>
      <c r="AD1705" s="7"/>
      <c r="AE1705" s="7"/>
    </row>
    <row r="1706">
      <c r="A1706" s="7"/>
      <c r="B1706" s="21"/>
      <c r="C1706" s="21"/>
      <c r="D1706" s="21"/>
      <c r="E1706" s="21"/>
      <c r="F1706" s="21"/>
      <c r="G1706" s="21"/>
      <c r="H1706" s="21"/>
      <c r="I1706" s="21"/>
      <c r="J1706" s="21"/>
      <c r="K1706" s="21"/>
      <c r="L1706" s="21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  <c r="AA1706" s="7"/>
      <c r="AB1706" s="7"/>
      <c r="AC1706" s="7"/>
      <c r="AD1706" s="7"/>
      <c r="AE1706" s="7"/>
    </row>
    <row r="1707">
      <c r="A1707" s="7"/>
      <c r="B1707" s="21"/>
      <c r="C1707" s="21"/>
      <c r="D1707" s="21"/>
      <c r="E1707" s="21"/>
      <c r="F1707" s="21"/>
      <c r="G1707" s="21"/>
      <c r="H1707" s="21"/>
      <c r="I1707" s="21"/>
      <c r="J1707" s="21"/>
      <c r="K1707" s="21"/>
      <c r="L1707" s="21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  <c r="Z1707" s="7"/>
      <c r="AA1707" s="7"/>
      <c r="AB1707" s="7"/>
      <c r="AC1707" s="7"/>
      <c r="AD1707" s="7"/>
      <c r="AE1707" s="7"/>
    </row>
    <row r="1708">
      <c r="A1708" s="7"/>
      <c r="B1708" s="21"/>
      <c r="C1708" s="21"/>
      <c r="D1708" s="21"/>
      <c r="E1708" s="21"/>
      <c r="F1708" s="21"/>
      <c r="G1708" s="21"/>
      <c r="H1708" s="21"/>
      <c r="I1708" s="21"/>
      <c r="J1708" s="21"/>
      <c r="K1708" s="21"/>
      <c r="L1708" s="21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  <c r="AA1708" s="7"/>
      <c r="AB1708" s="7"/>
      <c r="AC1708" s="7"/>
      <c r="AD1708" s="7"/>
      <c r="AE1708" s="7"/>
    </row>
    <row r="1709">
      <c r="A1709" s="7"/>
      <c r="B1709" s="21"/>
      <c r="C1709" s="21"/>
      <c r="D1709" s="21"/>
      <c r="E1709" s="21"/>
      <c r="F1709" s="21"/>
      <c r="G1709" s="21"/>
      <c r="H1709" s="21"/>
      <c r="I1709" s="21"/>
      <c r="J1709" s="21"/>
      <c r="K1709" s="21"/>
      <c r="L1709" s="21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  <c r="AA1709" s="7"/>
      <c r="AB1709" s="7"/>
      <c r="AC1709" s="7"/>
      <c r="AD1709" s="7"/>
      <c r="AE1709" s="7"/>
    </row>
    <row r="1710">
      <c r="A1710" s="7"/>
      <c r="B1710" s="21"/>
      <c r="C1710" s="21"/>
      <c r="D1710" s="21"/>
      <c r="E1710" s="21"/>
      <c r="F1710" s="21"/>
      <c r="G1710" s="21"/>
      <c r="H1710" s="21"/>
      <c r="I1710" s="21"/>
      <c r="J1710" s="21"/>
      <c r="K1710" s="21"/>
      <c r="L1710" s="21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  <c r="AA1710" s="7"/>
      <c r="AB1710" s="7"/>
      <c r="AC1710" s="7"/>
      <c r="AD1710" s="7"/>
      <c r="AE1710" s="7"/>
    </row>
    <row r="1711">
      <c r="A1711" s="7"/>
      <c r="B1711" s="21"/>
      <c r="C1711" s="21"/>
      <c r="D1711" s="21"/>
      <c r="E1711" s="21"/>
      <c r="F1711" s="21"/>
      <c r="G1711" s="21"/>
      <c r="H1711" s="21"/>
      <c r="I1711" s="21"/>
      <c r="J1711" s="21"/>
      <c r="K1711" s="21"/>
      <c r="L1711" s="21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  <c r="AA1711" s="7"/>
      <c r="AB1711" s="7"/>
      <c r="AC1711" s="7"/>
      <c r="AD1711" s="7"/>
      <c r="AE1711" s="7"/>
    </row>
    <row r="1712">
      <c r="A1712" s="7"/>
      <c r="B1712" s="21"/>
      <c r="C1712" s="21"/>
      <c r="D1712" s="21"/>
      <c r="E1712" s="21"/>
      <c r="F1712" s="21"/>
      <c r="G1712" s="21"/>
      <c r="H1712" s="21"/>
      <c r="I1712" s="21"/>
      <c r="J1712" s="21"/>
      <c r="K1712" s="21"/>
      <c r="L1712" s="21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  <c r="AA1712" s="7"/>
      <c r="AB1712" s="7"/>
      <c r="AC1712" s="7"/>
      <c r="AD1712" s="7"/>
      <c r="AE1712" s="7"/>
    </row>
    <row r="1713">
      <c r="A1713" s="7"/>
      <c r="B1713" s="21"/>
      <c r="C1713" s="21"/>
      <c r="D1713" s="21"/>
      <c r="E1713" s="21"/>
      <c r="F1713" s="21"/>
      <c r="G1713" s="21"/>
      <c r="H1713" s="21"/>
      <c r="I1713" s="21"/>
      <c r="J1713" s="21"/>
      <c r="K1713" s="21"/>
      <c r="L1713" s="21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  <c r="Z1713" s="7"/>
      <c r="AA1713" s="7"/>
      <c r="AB1713" s="7"/>
      <c r="AC1713" s="7"/>
      <c r="AD1713" s="7"/>
      <c r="AE1713" s="7"/>
    </row>
    <row r="1714">
      <c r="A1714" s="7"/>
      <c r="B1714" s="21"/>
      <c r="C1714" s="21"/>
      <c r="D1714" s="21"/>
      <c r="E1714" s="21"/>
      <c r="F1714" s="21"/>
      <c r="G1714" s="21"/>
      <c r="H1714" s="21"/>
      <c r="I1714" s="21"/>
      <c r="J1714" s="21"/>
      <c r="K1714" s="21"/>
      <c r="L1714" s="21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  <c r="AA1714" s="7"/>
      <c r="AB1714" s="7"/>
      <c r="AC1714" s="7"/>
      <c r="AD1714" s="7"/>
      <c r="AE1714" s="7"/>
    </row>
    <row r="1715">
      <c r="A1715" s="7"/>
      <c r="B1715" s="21"/>
      <c r="C1715" s="21"/>
      <c r="D1715" s="21"/>
      <c r="E1715" s="21"/>
      <c r="F1715" s="21"/>
      <c r="G1715" s="21"/>
      <c r="H1715" s="21"/>
      <c r="I1715" s="21"/>
      <c r="J1715" s="21"/>
      <c r="K1715" s="21"/>
      <c r="L1715" s="21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  <c r="AA1715" s="7"/>
      <c r="AB1715" s="7"/>
      <c r="AC1715" s="7"/>
      <c r="AD1715" s="7"/>
      <c r="AE1715" s="7"/>
    </row>
    <row r="1716">
      <c r="A1716" s="7"/>
      <c r="B1716" s="21"/>
      <c r="C1716" s="21"/>
      <c r="D1716" s="21"/>
      <c r="E1716" s="21"/>
      <c r="F1716" s="21"/>
      <c r="G1716" s="21"/>
      <c r="H1716" s="21"/>
      <c r="I1716" s="21"/>
      <c r="J1716" s="21"/>
      <c r="K1716" s="21"/>
      <c r="L1716" s="21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  <c r="AA1716" s="7"/>
      <c r="AB1716" s="7"/>
      <c r="AC1716" s="7"/>
      <c r="AD1716" s="7"/>
      <c r="AE1716" s="7"/>
    </row>
    <row r="1717">
      <c r="A1717" s="7"/>
      <c r="B1717" s="21"/>
      <c r="C1717" s="21"/>
      <c r="D1717" s="21"/>
      <c r="E1717" s="21"/>
      <c r="F1717" s="21"/>
      <c r="G1717" s="21"/>
      <c r="H1717" s="21"/>
      <c r="I1717" s="21"/>
      <c r="J1717" s="21"/>
      <c r="K1717" s="21"/>
      <c r="L1717" s="21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  <c r="AA1717" s="7"/>
      <c r="AB1717" s="7"/>
      <c r="AC1717" s="7"/>
      <c r="AD1717" s="7"/>
      <c r="AE1717" s="7"/>
    </row>
    <row r="1718">
      <c r="A1718" s="7"/>
      <c r="B1718" s="21"/>
      <c r="C1718" s="21"/>
      <c r="D1718" s="21"/>
      <c r="E1718" s="21"/>
      <c r="F1718" s="21"/>
      <c r="G1718" s="21"/>
      <c r="H1718" s="21"/>
      <c r="I1718" s="21"/>
      <c r="J1718" s="21"/>
      <c r="K1718" s="21"/>
      <c r="L1718" s="21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  <c r="AA1718" s="7"/>
      <c r="AB1718" s="7"/>
      <c r="AC1718" s="7"/>
      <c r="AD1718" s="7"/>
      <c r="AE1718" s="7"/>
    </row>
    <row r="1719">
      <c r="A1719" s="7"/>
      <c r="B1719" s="21"/>
      <c r="C1719" s="21"/>
      <c r="D1719" s="21"/>
      <c r="E1719" s="21"/>
      <c r="F1719" s="21"/>
      <c r="G1719" s="21"/>
      <c r="H1719" s="21"/>
      <c r="I1719" s="21"/>
      <c r="J1719" s="21"/>
      <c r="K1719" s="21"/>
      <c r="L1719" s="21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  <c r="AA1719" s="7"/>
      <c r="AB1719" s="7"/>
      <c r="AC1719" s="7"/>
      <c r="AD1719" s="7"/>
      <c r="AE1719" s="7"/>
    </row>
    <row r="1720">
      <c r="A1720" s="7"/>
      <c r="B1720" s="21"/>
      <c r="C1720" s="21"/>
      <c r="D1720" s="21"/>
      <c r="E1720" s="21"/>
      <c r="F1720" s="21"/>
      <c r="G1720" s="21"/>
      <c r="H1720" s="21"/>
      <c r="I1720" s="21"/>
      <c r="J1720" s="21"/>
      <c r="K1720" s="21"/>
      <c r="L1720" s="21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  <c r="AA1720" s="7"/>
      <c r="AB1720" s="7"/>
      <c r="AC1720" s="7"/>
      <c r="AD1720" s="7"/>
      <c r="AE1720" s="7"/>
    </row>
    <row r="1721">
      <c r="A1721" s="7"/>
      <c r="B1721" s="21"/>
      <c r="C1721" s="21"/>
      <c r="D1721" s="21"/>
      <c r="E1721" s="21"/>
      <c r="F1721" s="21"/>
      <c r="G1721" s="21"/>
      <c r="H1721" s="21"/>
      <c r="I1721" s="21"/>
      <c r="J1721" s="21"/>
      <c r="K1721" s="21"/>
      <c r="L1721" s="21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  <c r="AA1721" s="7"/>
      <c r="AB1721" s="7"/>
      <c r="AC1721" s="7"/>
      <c r="AD1721" s="7"/>
      <c r="AE1721" s="7"/>
    </row>
    <row r="1722">
      <c r="A1722" s="7"/>
      <c r="B1722" s="21"/>
      <c r="C1722" s="21"/>
      <c r="D1722" s="21"/>
      <c r="E1722" s="21"/>
      <c r="F1722" s="21"/>
      <c r="G1722" s="21"/>
      <c r="H1722" s="21"/>
      <c r="I1722" s="21"/>
      <c r="J1722" s="21"/>
      <c r="K1722" s="21"/>
      <c r="L1722" s="21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  <c r="AA1722" s="7"/>
      <c r="AB1722" s="7"/>
      <c r="AC1722" s="7"/>
      <c r="AD1722" s="7"/>
      <c r="AE1722" s="7"/>
    </row>
    <row r="1723">
      <c r="A1723" s="7"/>
      <c r="B1723" s="21"/>
      <c r="C1723" s="21"/>
      <c r="D1723" s="21"/>
      <c r="E1723" s="21"/>
      <c r="F1723" s="21"/>
      <c r="G1723" s="21"/>
      <c r="H1723" s="21"/>
      <c r="I1723" s="21"/>
      <c r="J1723" s="21"/>
      <c r="K1723" s="21"/>
      <c r="L1723" s="21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  <c r="AA1723" s="7"/>
      <c r="AB1723" s="7"/>
      <c r="AC1723" s="7"/>
      <c r="AD1723" s="7"/>
      <c r="AE1723" s="7"/>
    </row>
    <row r="1724">
      <c r="A1724" s="7"/>
      <c r="B1724" s="21"/>
      <c r="C1724" s="21"/>
      <c r="D1724" s="21"/>
      <c r="E1724" s="21"/>
      <c r="F1724" s="21"/>
      <c r="G1724" s="21"/>
      <c r="H1724" s="21"/>
      <c r="I1724" s="21"/>
      <c r="J1724" s="21"/>
      <c r="K1724" s="21"/>
      <c r="L1724" s="21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  <c r="AA1724" s="7"/>
      <c r="AB1724" s="7"/>
      <c r="AC1724" s="7"/>
      <c r="AD1724" s="7"/>
      <c r="AE1724" s="7"/>
    </row>
    <row r="1725">
      <c r="A1725" s="7"/>
      <c r="B1725" s="21"/>
      <c r="C1725" s="21"/>
      <c r="D1725" s="21"/>
      <c r="E1725" s="21"/>
      <c r="F1725" s="21"/>
      <c r="G1725" s="21"/>
      <c r="H1725" s="21"/>
      <c r="I1725" s="21"/>
      <c r="J1725" s="21"/>
      <c r="K1725" s="21"/>
      <c r="L1725" s="21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7"/>
      <c r="Z1725" s="7"/>
      <c r="AA1725" s="7"/>
      <c r="AB1725" s="7"/>
      <c r="AC1725" s="7"/>
      <c r="AD1725" s="7"/>
      <c r="AE1725" s="7"/>
    </row>
    <row r="1726">
      <c r="A1726" s="7"/>
      <c r="B1726" s="21"/>
      <c r="C1726" s="21"/>
      <c r="D1726" s="21"/>
      <c r="E1726" s="21"/>
      <c r="F1726" s="21"/>
      <c r="G1726" s="21"/>
      <c r="H1726" s="21"/>
      <c r="I1726" s="21"/>
      <c r="J1726" s="21"/>
      <c r="K1726" s="21"/>
      <c r="L1726" s="21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  <c r="Z1726" s="7"/>
      <c r="AA1726" s="7"/>
      <c r="AB1726" s="7"/>
      <c r="AC1726" s="7"/>
      <c r="AD1726" s="7"/>
      <c r="AE1726" s="7"/>
    </row>
    <row r="1727">
      <c r="A1727" s="7"/>
      <c r="B1727" s="21"/>
      <c r="C1727" s="21"/>
      <c r="D1727" s="21"/>
      <c r="E1727" s="21"/>
      <c r="F1727" s="21"/>
      <c r="G1727" s="21"/>
      <c r="H1727" s="21"/>
      <c r="I1727" s="21"/>
      <c r="J1727" s="21"/>
      <c r="K1727" s="21"/>
      <c r="L1727" s="21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  <c r="AA1727" s="7"/>
      <c r="AB1727" s="7"/>
      <c r="AC1727" s="7"/>
      <c r="AD1727" s="7"/>
      <c r="AE1727" s="7"/>
    </row>
    <row r="1728">
      <c r="A1728" s="7"/>
      <c r="B1728" s="21"/>
      <c r="C1728" s="21"/>
      <c r="D1728" s="21"/>
      <c r="E1728" s="21"/>
      <c r="F1728" s="21"/>
      <c r="G1728" s="21"/>
      <c r="H1728" s="21"/>
      <c r="I1728" s="21"/>
      <c r="J1728" s="21"/>
      <c r="K1728" s="21"/>
      <c r="L1728" s="21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  <c r="AA1728" s="7"/>
      <c r="AB1728" s="7"/>
      <c r="AC1728" s="7"/>
      <c r="AD1728" s="7"/>
      <c r="AE1728" s="7"/>
    </row>
    <row r="1729">
      <c r="A1729" s="7"/>
      <c r="B1729" s="21"/>
      <c r="C1729" s="21"/>
      <c r="D1729" s="21"/>
      <c r="E1729" s="21"/>
      <c r="F1729" s="21"/>
      <c r="G1729" s="21"/>
      <c r="H1729" s="21"/>
      <c r="I1729" s="21"/>
      <c r="J1729" s="21"/>
      <c r="K1729" s="21"/>
      <c r="L1729" s="21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  <c r="AA1729" s="7"/>
      <c r="AB1729" s="7"/>
      <c r="AC1729" s="7"/>
      <c r="AD1729" s="7"/>
      <c r="AE1729" s="7"/>
    </row>
    <row r="1730">
      <c r="A1730" s="7"/>
      <c r="B1730" s="21"/>
      <c r="C1730" s="21"/>
      <c r="D1730" s="21"/>
      <c r="E1730" s="21"/>
      <c r="F1730" s="21"/>
      <c r="G1730" s="21"/>
      <c r="H1730" s="21"/>
      <c r="I1730" s="21"/>
      <c r="J1730" s="21"/>
      <c r="K1730" s="21"/>
      <c r="L1730" s="21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  <c r="AB1730" s="7"/>
      <c r="AC1730" s="7"/>
      <c r="AD1730" s="7"/>
      <c r="AE1730" s="7"/>
    </row>
    <row r="1731">
      <c r="A1731" s="7"/>
      <c r="B1731" s="21"/>
      <c r="C1731" s="21"/>
      <c r="D1731" s="21"/>
      <c r="E1731" s="21"/>
      <c r="F1731" s="21"/>
      <c r="G1731" s="21"/>
      <c r="H1731" s="21"/>
      <c r="I1731" s="21"/>
      <c r="J1731" s="21"/>
      <c r="K1731" s="21"/>
      <c r="L1731" s="21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  <c r="Z1731" s="7"/>
      <c r="AA1731" s="7"/>
      <c r="AB1731" s="7"/>
      <c r="AC1731" s="7"/>
      <c r="AD1731" s="7"/>
      <c r="AE1731" s="7"/>
    </row>
    <row r="1732">
      <c r="A1732" s="7"/>
      <c r="B1732" s="21"/>
      <c r="C1732" s="21"/>
      <c r="D1732" s="21"/>
      <c r="E1732" s="21"/>
      <c r="F1732" s="21"/>
      <c r="G1732" s="21"/>
      <c r="H1732" s="21"/>
      <c r="I1732" s="21"/>
      <c r="J1732" s="21"/>
      <c r="K1732" s="21"/>
      <c r="L1732" s="21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  <c r="Z1732" s="7"/>
      <c r="AA1732" s="7"/>
      <c r="AB1732" s="7"/>
      <c r="AC1732" s="7"/>
      <c r="AD1732" s="7"/>
      <c r="AE1732" s="7"/>
    </row>
    <row r="1733">
      <c r="A1733" s="7"/>
      <c r="B1733" s="21"/>
      <c r="C1733" s="21"/>
      <c r="D1733" s="21"/>
      <c r="E1733" s="21"/>
      <c r="F1733" s="21"/>
      <c r="G1733" s="21"/>
      <c r="H1733" s="21"/>
      <c r="I1733" s="21"/>
      <c r="J1733" s="21"/>
      <c r="K1733" s="21"/>
      <c r="L1733" s="21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  <c r="AA1733" s="7"/>
      <c r="AB1733" s="7"/>
      <c r="AC1733" s="7"/>
      <c r="AD1733" s="7"/>
      <c r="AE1733" s="7"/>
    </row>
    <row r="1734">
      <c r="A1734" s="7"/>
      <c r="B1734" s="21"/>
      <c r="C1734" s="21"/>
      <c r="D1734" s="21"/>
      <c r="E1734" s="21"/>
      <c r="F1734" s="21"/>
      <c r="G1734" s="21"/>
      <c r="H1734" s="21"/>
      <c r="I1734" s="21"/>
      <c r="J1734" s="21"/>
      <c r="K1734" s="21"/>
      <c r="L1734" s="21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  <c r="AA1734" s="7"/>
      <c r="AB1734" s="7"/>
      <c r="AC1734" s="7"/>
      <c r="AD1734" s="7"/>
      <c r="AE1734" s="7"/>
    </row>
    <row r="1735">
      <c r="A1735" s="7"/>
      <c r="B1735" s="21"/>
      <c r="C1735" s="21"/>
      <c r="D1735" s="21"/>
      <c r="E1735" s="21"/>
      <c r="F1735" s="21"/>
      <c r="G1735" s="21"/>
      <c r="H1735" s="21"/>
      <c r="I1735" s="21"/>
      <c r="J1735" s="21"/>
      <c r="K1735" s="21"/>
      <c r="L1735" s="21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  <c r="AB1735" s="7"/>
      <c r="AC1735" s="7"/>
      <c r="AD1735" s="7"/>
      <c r="AE1735" s="7"/>
    </row>
    <row r="1736">
      <c r="A1736" s="7"/>
      <c r="B1736" s="21"/>
      <c r="C1736" s="21"/>
      <c r="D1736" s="21"/>
      <c r="E1736" s="21"/>
      <c r="F1736" s="21"/>
      <c r="G1736" s="21"/>
      <c r="H1736" s="21"/>
      <c r="I1736" s="21"/>
      <c r="J1736" s="21"/>
      <c r="K1736" s="21"/>
      <c r="L1736" s="21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7"/>
      <c r="AB1736" s="7"/>
      <c r="AC1736" s="7"/>
      <c r="AD1736" s="7"/>
      <c r="AE1736" s="7"/>
    </row>
    <row r="1737">
      <c r="A1737" s="7"/>
      <c r="B1737" s="21"/>
      <c r="C1737" s="21"/>
      <c r="D1737" s="21"/>
      <c r="E1737" s="21"/>
      <c r="F1737" s="21"/>
      <c r="G1737" s="21"/>
      <c r="H1737" s="21"/>
      <c r="I1737" s="21"/>
      <c r="J1737" s="21"/>
      <c r="K1737" s="21"/>
      <c r="L1737" s="21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  <c r="Z1737" s="7"/>
      <c r="AA1737" s="7"/>
      <c r="AB1737" s="7"/>
      <c r="AC1737" s="7"/>
      <c r="AD1737" s="7"/>
      <c r="AE1737" s="7"/>
    </row>
    <row r="1738">
      <c r="A1738" s="7"/>
      <c r="B1738" s="21"/>
      <c r="C1738" s="21"/>
      <c r="D1738" s="21"/>
      <c r="E1738" s="21"/>
      <c r="F1738" s="21"/>
      <c r="G1738" s="21"/>
      <c r="H1738" s="21"/>
      <c r="I1738" s="21"/>
      <c r="J1738" s="21"/>
      <c r="K1738" s="21"/>
      <c r="L1738" s="21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  <c r="Z1738" s="7"/>
      <c r="AA1738" s="7"/>
      <c r="AB1738" s="7"/>
      <c r="AC1738" s="7"/>
      <c r="AD1738" s="7"/>
      <c r="AE1738" s="7"/>
    </row>
    <row r="1739">
      <c r="A1739" s="7"/>
      <c r="B1739" s="21"/>
      <c r="C1739" s="21"/>
      <c r="D1739" s="21"/>
      <c r="E1739" s="21"/>
      <c r="F1739" s="21"/>
      <c r="G1739" s="21"/>
      <c r="H1739" s="21"/>
      <c r="I1739" s="21"/>
      <c r="J1739" s="21"/>
      <c r="K1739" s="21"/>
      <c r="L1739" s="21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7"/>
      <c r="Y1739" s="7"/>
      <c r="Z1739" s="7"/>
      <c r="AA1739" s="7"/>
      <c r="AB1739" s="7"/>
      <c r="AC1739" s="7"/>
      <c r="AD1739" s="7"/>
      <c r="AE1739" s="7"/>
    </row>
    <row r="1740">
      <c r="A1740" s="7"/>
      <c r="B1740" s="21"/>
      <c r="C1740" s="21"/>
      <c r="D1740" s="21"/>
      <c r="E1740" s="21"/>
      <c r="F1740" s="21"/>
      <c r="G1740" s="21"/>
      <c r="H1740" s="21"/>
      <c r="I1740" s="21"/>
      <c r="J1740" s="21"/>
      <c r="K1740" s="21"/>
      <c r="L1740" s="21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  <c r="AA1740" s="7"/>
      <c r="AB1740" s="7"/>
      <c r="AC1740" s="7"/>
      <c r="AD1740" s="7"/>
      <c r="AE1740" s="7"/>
    </row>
    <row r="1741">
      <c r="A1741" s="7"/>
      <c r="B1741" s="21"/>
      <c r="C1741" s="21"/>
      <c r="D1741" s="21"/>
      <c r="E1741" s="21"/>
      <c r="F1741" s="21"/>
      <c r="G1741" s="21"/>
      <c r="H1741" s="21"/>
      <c r="I1741" s="21"/>
      <c r="J1741" s="21"/>
      <c r="K1741" s="21"/>
      <c r="L1741" s="21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  <c r="AA1741" s="7"/>
      <c r="AB1741" s="7"/>
      <c r="AC1741" s="7"/>
      <c r="AD1741" s="7"/>
      <c r="AE1741" s="7"/>
    </row>
    <row r="1742">
      <c r="A1742" s="7"/>
      <c r="B1742" s="21"/>
      <c r="C1742" s="21"/>
      <c r="D1742" s="21"/>
      <c r="E1742" s="21"/>
      <c r="F1742" s="21"/>
      <c r="G1742" s="21"/>
      <c r="H1742" s="21"/>
      <c r="I1742" s="21"/>
      <c r="J1742" s="21"/>
      <c r="K1742" s="21"/>
      <c r="L1742" s="21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  <c r="AA1742" s="7"/>
      <c r="AB1742" s="7"/>
      <c r="AC1742" s="7"/>
      <c r="AD1742" s="7"/>
      <c r="AE1742" s="7"/>
    </row>
    <row r="1743">
      <c r="A1743" s="7"/>
      <c r="B1743" s="21"/>
      <c r="C1743" s="21"/>
      <c r="D1743" s="21"/>
      <c r="E1743" s="21"/>
      <c r="F1743" s="21"/>
      <c r="G1743" s="21"/>
      <c r="H1743" s="21"/>
      <c r="I1743" s="21"/>
      <c r="J1743" s="21"/>
      <c r="K1743" s="21"/>
      <c r="L1743" s="21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7"/>
      <c r="Y1743" s="7"/>
      <c r="Z1743" s="7"/>
      <c r="AA1743" s="7"/>
      <c r="AB1743" s="7"/>
      <c r="AC1743" s="7"/>
      <c r="AD1743" s="7"/>
      <c r="AE1743" s="7"/>
    </row>
    <row r="1744">
      <c r="A1744" s="7"/>
      <c r="B1744" s="21"/>
      <c r="C1744" s="21"/>
      <c r="D1744" s="21"/>
      <c r="E1744" s="21"/>
      <c r="F1744" s="21"/>
      <c r="G1744" s="21"/>
      <c r="H1744" s="21"/>
      <c r="I1744" s="21"/>
      <c r="J1744" s="21"/>
      <c r="K1744" s="21"/>
      <c r="L1744" s="21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  <c r="AA1744" s="7"/>
      <c r="AB1744" s="7"/>
      <c r="AC1744" s="7"/>
      <c r="AD1744" s="7"/>
      <c r="AE1744" s="7"/>
    </row>
    <row r="1745">
      <c r="A1745" s="7"/>
      <c r="B1745" s="21"/>
      <c r="C1745" s="21"/>
      <c r="D1745" s="21"/>
      <c r="E1745" s="21"/>
      <c r="F1745" s="21"/>
      <c r="G1745" s="21"/>
      <c r="H1745" s="21"/>
      <c r="I1745" s="21"/>
      <c r="J1745" s="21"/>
      <c r="K1745" s="21"/>
      <c r="L1745" s="21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  <c r="AA1745" s="7"/>
      <c r="AB1745" s="7"/>
      <c r="AC1745" s="7"/>
      <c r="AD1745" s="7"/>
      <c r="AE1745" s="7"/>
    </row>
    <row r="1746">
      <c r="A1746" s="7"/>
      <c r="B1746" s="21"/>
      <c r="C1746" s="21"/>
      <c r="D1746" s="21"/>
      <c r="E1746" s="21"/>
      <c r="F1746" s="21"/>
      <c r="G1746" s="21"/>
      <c r="H1746" s="21"/>
      <c r="I1746" s="21"/>
      <c r="J1746" s="21"/>
      <c r="K1746" s="21"/>
      <c r="L1746" s="21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  <c r="AB1746" s="7"/>
      <c r="AC1746" s="7"/>
      <c r="AD1746" s="7"/>
      <c r="AE1746" s="7"/>
    </row>
    <row r="1747">
      <c r="A1747" s="7"/>
      <c r="B1747" s="21"/>
      <c r="C1747" s="21"/>
      <c r="D1747" s="21"/>
      <c r="E1747" s="21"/>
      <c r="F1747" s="21"/>
      <c r="G1747" s="21"/>
      <c r="H1747" s="21"/>
      <c r="I1747" s="21"/>
      <c r="J1747" s="21"/>
      <c r="K1747" s="21"/>
      <c r="L1747" s="21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  <c r="AB1747" s="7"/>
      <c r="AC1747" s="7"/>
      <c r="AD1747" s="7"/>
      <c r="AE1747" s="7"/>
    </row>
    <row r="1748">
      <c r="A1748" s="7"/>
      <c r="B1748" s="21"/>
      <c r="C1748" s="21"/>
      <c r="D1748" s="21"/>
      <c r="E1748" s="21"/>
      <c r="F1748" s="21"/>
      <c r="G1748" s="21"/>
      <c r="H1748" s="21"/>
      <c r="I1748" s="21"/>
      <c r="J1748" s="21"/>
      <c r="K1748" s="21"/>
      <c r="L1748" s="21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  <c r="AB1748" s="7"/>
      <c r="AC1748" s="7"/>
      <c r="AD1748" s="7"/>
      <c r="AE1748" s="7"/>
    </row>
    <row r="1749">
      <c r="A1749" s="7"/>
      <c r="B1749" s="21"/>
      <c r="C1749" s="21"/>
      <c r="D1749" s="21"/>
      <c r="E1749" s="21"/>
      <c r="F1749" s="21"/>
      <c r="G1749" s="21"/>
      <c r="H1749" s="21"/>
      <c r="I1749" s="21"/>
      <c r="J1749" s="21"/>
      <c r="K1749" s="21"/>
      <c r="L1749" s="21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  <c r="AA1749" s="7"/>
      <c r="AB1749" s="7"/>
      <c r="AC1749" s="7"/>
      <c r="AD1749" s="7"/>
      <c r="AE1749" s="7"/>
    </row>
    <row r="1750">
      <c r="A1750" s="7"/>
      <c r="B1750" s="21"/>
      <c r="C1750" s="21"/>
      <c r="D1750" s="21"/>
      <c r="E1750" s="21"/>
      <c r="F1750" s="21"/>
      <c r="G1750" s="21"/>
      <c r="H1750" s="21"/>
      <c r="I1750" s="21"/>
      <c r="J1750" s="21"/>
      <c r="K1750" s="21"/>
      <c r="L1750" s="21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  <c r="AA1750" s="7"/>
      <c r="AB1750" s="7"/>
      <c r="AC1750" s="7"/>
      <c r="AD1750" s="7"/>
      <c r="AE1750" s="7"/>
    </row>
    <row r="1751">
      <c r="A1751" s="7"/>
      <c r="B1751" s="21"/>
      <c r="C1751" s="21"/>
      <c r="D1751" s="21"/>
      <c r="E1751" s="21"/>
      <c r="F1751" s="21"/>
      <c r="G1751" s="21"/>
      <c r="H1751" s="21"/>
      <c r="I1751" s="21"/>
      <c r="J1751" s="21"/>
      <c r="K1751" s="21"/>
      <c r="L1751" s="21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  <c r="AA1751" s="7"/>
      <c r="AB1751" s="7"/>
      <c r="AC1751" s="7"/>
      <c r="AD1751" s="7"/>
      <c r="AE1751" s="7"/>
    </row>
    <row r="1752">
      <c r="A1752" s="7"/>
      <c r="B1752" s="21"/>
      <c r="C1752" s="21"/>
      <c r="D1752" s="21"/>
      <c r="E1752" s="21"/>
      <c r="F1752" s="21"/>
      <c r="G1752" s="21"/>
      <c r="H1752" s="21"/>
      <c r="I1752" s="21"/>
      <c r="J1752" s="21"/>
      <c r="K1752" s="21"/>
      <c r="L1752" s="21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  <c r="AA1752" s="7"/>
      <c r="AB1752" s="7"/>
      <c r="AC1752" s="7"/>
      <c r="AD1752" s="7"/>
      <c r="AE1752" s="7"/>
    </row>
    <row r="1753">
      <c r="A1753" s="7"/>
      <c r="B1753" s="21"/>
      <c r="C1753" s="21"/>
      <c r="D1753" s="21"/>
      <c r="E1753" s="21"/>
      <c r="F1753" s="21"/>
      <c r="G1753" s="21"/>
      <c r="H1753" s="21"/>
      <c r="I1753" s="21"/>
      <c r="J1753" s="21"/>
      <c r="K1753" s="21"/>
      <c r="L1753" s="21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  <c r="AA1753" s="7"/>
      <c r="AB1753" s="7"/>
      <c r="AC1753" s="7"/>
      <c r="AD1753" s="7"/>
      <c r="AE1753" s="7"/>
    </row>
    <row r="1754">
      <c r="A1754" s="7"/>
      <c r="B1754" s="21"/>
      <c r="C1754" s="21"/>
      <c r="D1754" s="21"/>
      <c r="E1754" s="21"/>
      <c r="F1754" s="21"/>
      <c r="G1754" s="21"/>
      <c r="H1754" s="21"/>
      <c r="I1754" s="21"/>
      <c r="J1754" s="21"/>
      <c r="K1754" s="21"/>
      <c r="L1754" s="21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  <c r="AA1754" s="7"/>
      <c r="AB1754" s="7"/>
      <c r="AC1754" s="7"/>
      <c r="AD1754" s="7"/>
      <c r="AE1754" s="7"/>
    </row>
    <row r="1755">
      <c r="A1755" s="7"/>
      <c r="B1755" s="21"/>
      <c r="C1755" s="21"/>
      <c r="D1755" s="21"/>
      <c r="E1755" s="21"/>
      <c r="F1755" s="21"/>
      <c r="G1755" s="21"/>
      <c r="H1755" s="21"/>
      <c r="I1755" s="21"/>
      <c r="J1755" s="21"/>
      <c r="K1755" s="21"/>
      <c r="L1755" s="21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  <c r="AA1755" s="7"/>
      <c r="AB1755" s="7"/>
      <c r="AC1755" s="7"/>
      <c r="AD1755" s="7"/>
      <c r="AE1755" s="7"/>
    </row>
    <row r="1756">
      <c r="A1756" s="7"/>
      <c r="B1756" s="21"/>
      <c r="C1756" s="21"/>
      <c r="D1756" s="21"/>
      <c r="E1756" s="21"/>
      <c r="F1756" s="21"/>
      <c r="G1756" s="21"/>
      <c r="H1756" s="21"/>
      <c r="I1756" s="21"/>
      <c r="J1756" s="21"/>
      <c r="K1756" s="21"/>
      <c r="L1756" s="21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  <c r="Z1756" s="7"/>
      <c r="AA1756" s="7"/>
      <c r="AB1756" s="7"/>
      <c r="AC1756" s="7"/>
      <c r="AD1756" s="7"/>
      <c r="AE1756" s="7"/>
    </row>
    <row r="1757">
      <c r="A1757" s="7"/>
      <c r="B1757" s="21"/>
      <c r="C1757" s="21"/>
      <c r="D1757" s="21"/>
      <c r="E1757" s="21"/>
      <c r="F1757" s="21"/>
      <c r="G1757" s="21"/>
      <c r="H1757" s="21"/>
      <c r="I1757" s="21"/>
      <c r="J1757" s="21"/>
      <c r="K1757" s="21"/>
      <c r="L1757" s="21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  <c r="AA1757" s="7"/>
      <c r="AB1757" s="7"/>
      <c r="AC1757" s="7"/>
      <c r="AD1757" s="7"/>
      <c r="AE1757" s="7"/>
    </row>
    <row r="1758">
      <c r="A1758" s="7"/>
      <c r="B1758" s="21"/>
      <c r="C1758" s="21"/>
      <c r="D1758" s="21"/>
      <c r="E1758" s="21"/>
      <c r="F1758" s="21"/>
      <c r="G1758" s="21"/>
      <c r="H1758" s="21"/>
      <c r="I1758" s="21"/>
      <c r="J1758" s="21"/>
      <c r="K1758" s="21"/>
      <c r="L1758" s="21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  <c r="AA1758" s="7"/>
      <c r="AB1758" s="7"/>
      <c r="AC1758" s="7"/>
      <c r="AD1758" s="7"/>
      <c r="AE1758" s="7"/>
    </row>
    <row r="1759">
      <c r="A1759" s="7"/>
      <c r="B1759" s="21"/>
      <c r="C1759" s="21"/>
      <c r="D1759" s="21"/>
      <c r="E1759" s="21"/>
      <c r="F1759" s="21"/>
      <c r="G1759" s="21"/>
      <c r="H1759" s="21"/>
      <c r="I1759" s="21"/>
      <c r="J1759" s="21"/>
      <c r="K1759" s="21"/>
      <c r="L1759" s="21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  <c r="AA1759" s="7"/>
      <c r="AB1759" s="7"/>
      <c r="AC1759" s="7"/>
      <c r="AD1759" s="7"/>
      <c r="AE1759" s="7"/>
    </row>
    <row r="1760">
      <c r="A1760" s="7"/>
      <c r="B1760" s="21"/>
      <c r="C1760" s="21"/>
      <c r="D1760" s="21"/>
      <c r="E1760" s="21"/>
      <c r="F1760" s="21"/>
      <c r="G1760" s="21"/>
      <c r="H1760" s="21"/>
      <c r="I1760" s="21"/>
      <c r="J1760" s="21"/>
      <c r="K1760" s="21"/>
      <c r="L1760" s="21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  <c r="AA1760" s="7"/>
      <c r="AB1760" s="7"/>
      <c r="AC1760" s="7"/>
      <c r="AD1760" s="7"/>
      <c r="AE1760" s="7"/>
    </row>
    <row r="1761">
      <c r="A1761" s="7"/>
      <c r="B1761" s="21"/>
      <c r="C1761" s="21"/>
      <c r="D1761" s="21"/>
      <c r="E1761" s="21"/>
      <c r="F1761" s="21"/>
      <c r="G1761" s="21"/>
      <c r="H1761" s="21"/>
      <c r="I1761" s="21"/>
      <c r="J1761" s="21"/>
      <c r="K1761" s="21"/>
      <c r="L1761" s="21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7"/>
      <c r="Z1761" s="7"/>
      <c r="AA1761" s="7"/>
      <c r="AB1761" s="7"/>
      <c r="AC1761" s="7"/>
      <c r="AD1761" s="7"/>
      <c r="AE1761" s="7"/>
    </row>
    <row r="1762">
      <c r="A1762" s="7"/>
      <c r="B1762" s="21"/>
      <c r="C1762" s="21"/>
      <c r="D1762" s="21"/>
      <c r="E1762" s="21"/>
      <c r="F1762" s="21"/>
      <c r="G1762" s="21"/>
      <c r="H1762" s="21"/>
      <c r="I1762" s="21"/>
      <c r="J1762" s="21"/>
      <c r="K1762" s="21"/>
      <c r="L1762" s="21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7"/>
      <c r="Y1762" s="7"/>
      <c r="Z1762" s="7"/>
      <c r="AA1762" s="7"/>
      <c r="AB1762" s="7"/>
      <c r="AC1762" s="7"/>
      <c r="AD1762" s="7"/>
      <c r="AE1762" s="7"/>
    </row>
    <row r="1763">
      <c r="A1763" s="7"/>
      <c r="B1763" s="21"/>
      <c r="C1763" s="21"/>
      <c r="D1763" s="21"/>
      <c r="E1763" s="21"/>
      <c r="F1763" s="21"/>
      <c r="G1763" s="21"/>
      <c r="H1763" s="21"/>
      <c r="I1763" s="21"/>
      <c r="J1763" s="21"/>
      <c r="K1763" s="21"/>
      <c r="L1763" s="21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  <c r="AA1763" s="7"/>
      <c r="AB1763" s="7"/>
      <c r="AC1763" s="7"/>
      <c r="AD1763" s="7"/>
      <c r="AE1763" s="7"/>
    </row>
    <row r="1764">
      <c r="A1764" s="7"/>
      <c r="B1764" s="21"/>
      <c r="C1764" s="21"/>
      <c r="D1764" s="21"/>
      <c r="E1764" s="21"/>
      <c r="F1764" s="21"/>
      <c r="G1764" s="21"/>
      <c r="H1764" s="21"/>
      <c r="I1764" s="21"/>
      <c r="J1764" s="21"/>
      <c r="K1764" s="21"/>
      <c r="L1764" s="21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  <c r="AA1764" s="7"/>
      <c r="AB1764" s="7"/>
      <c r="AC1764" s="7"/>
      <c r="AD1764" s="7"/>
      <c r="AE1764" s="7"/>
    </row>
    <row r="1765">
      <c r="A1765" s="7"/>
      <c r="B1765" s="21"/>
      <c r="C1765" s="21"/>
      <c r="D1765" s="21"/>
      <c r="E1765" s="21"/>
      <c r="F1765" s="21"/>
      <c r="G1765" s="21"/>
      <c r="H1765" s="21"/>
      <c r="I1765" s="21"/>
      <c r="J1765" s="21"/>
      <c r="K1765" s="21"/>
      <c r="L1765" s="21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7"/>
      <c r="Y1765" s="7"/>
      <c r="Z1765" s="7"/>
      <c r="AA1765" s="7"/>
      <c r="AB1765" s="7"/>
      <c r="AC1765" s="7"/>
      <c r="AD1765" s="7"/>
      <c r="AE1765" s="7"/>
    </row>
    <row r="1766">
      <c r="A1766" s="7"/>
      <c r="B1766" s="21"/>
      <c r="C1766" s="21"/>
      <c r="D1766" s="21"/>
      <c r="E1766" s="21"/>
      <c r="F1766" s="21"/>
      <c r="G1766" s="21"/>
      <c r="H1766" s="21"/>
      <c r="I1766" s="21"/>
      <c r="J1766" s="21"/>
      <c r="K1766" s="21"/>
      <c r="L1766" s="21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7"/>
      <c r="Y1766" s="7"/>
      <c r="Z1766" s="7"/>
      <c r="AA1766" s="7"/>
      <c r="AB1766" s="7"/>
      <c r="AC1766" s="7"/>
      <c r="AD1766" s="7"/>
      <c r="AE1766" s="7"/>
    </row>
    <row r="1767">
      <c r="A1767" s="7"/>
      <c r="B1767" s="21"/>
      <c r="C1767" s="21"/>
      <c r="D1767" s="21"/>
      <c r="E1767" s="21"/>
      <c r="F1767" s="21"/>
      <c r="G1767" s="21"/>
      <c r="H1767" s="21"/>
      <c r="I1767" s="21"/>
      <c r="J1767" s="21"/>
      <c r="K1767" s="21"/>
      <c r="L1767" s="21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7"/>
      <c r="Y1767" s="7"/>
      <c r="Z1767" s="7"/>
      <c r="AA1767" s="7"/>
      <c r="AB1767" s="7"/>
      <c r="AC1767" s="7"/>
      <c r="AD1767" s="7"/>
      <c r="AE1767" s="7"/>
    </row>
    <row r="1768">
      <c r="A1768" s="7"/>
      <c r="B1768" s="21"/>
      <c r="C1768" s="21"/>
      <c r="D1768" s="21"/>
      <c r="E1768" s="21"/>
      <c r="F1768" s="21"/>
      <c r="G1768" s="21"/>
      <c r="H1768" s="21"/>
      <c r="I1768" s="21"/>
      <c r="J1768" s="21"/>
      <c r="K1768" s="21"/>
      <c r="L1768" s="21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7"/>
      <c r="Z1768" s="7"/>
      <c r="AA1768" s="7"/>
      <c r="AB1768" s="7"/>
      <c r="AC1768" s="7"/>
      <c r="AD1768" s="7"/>
      <c r="AE1768" s="7"/>
    </row>
    <row r="1769">
      <c r="A1769" s="7"/>
      <c r="B1769" s="21"/>
      <c r="C1769" s="21"/>
      <c r="D1769" s="21"/>
      <c r="E1769" s="21"/>
      <c r="F1769" s="21"/>
      <c r="G1769" s="21"/>
      <c r="H1769" s="21"/>
      <c r="I1769" s="21"/>
      <c r="J1769" s="21"/>
      <c r="K1769" s="21"/>
      <c r="L1769" s="21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7"/>
      <c r="Y1769" s="7"/>
      <c r="Z1769" s="7"/>
      <c r="AA1769" s="7"/>
      <c r="AB1769" s="7"/>
      <c r="AC1769" s="7"/>
      <c r="AD1769" s="7"/>
      <c r="AE1769" s="7"/>
    </row>
    <row r="1770">
      <c r="A1770" s="7"/>
      <c r="B1770" s="21"/>
      <c r="C1770" s="21"/>
      <c r="D1770" s="21"/>
      <c r="E1770" s="21"/>
      <c r="F1770" s="21"/>
      <c r="G1770" s="21"/>
      <c r="H1770" s="21"/>
      <c r="I1770" s="21"/>
      <c r="J1770" s="21"/>
      <c r="K1770" s="21"/>
      <c r="L1770" s="21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7"/>
      <c r="Y1770" s="7"/>
      <c r="Z1770" s="7"/>
      <c r="AA1770" s="7"/>
      <c r="AB1770" s="7"/>
      <c r="AC1770" s="7"/>
      <c r="AD1770" s="7"/>
      <c r="AE1770" s="7"/>
    </row>
    <row r="1771">
      <c r="A1771" s="7"/>
      <c r="B1771" s="21"/>
      <c r="C1771" s="21"/>
      <c r="D1771" s="21"/>
      <c r="E1771" s="21"/>
      <c r="F1771" s="21"/>
      <c r="G1771" s="21"/>
      <c r="H1771" s="21"/>
      <c r="I1771" s="21"/>
      <c r="J1771" s="21"/>
      <c r="K1771" s="21"/>
      <c r="L1771" s="21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  <c r="AA1771" s="7"/>
      <c r="AB1771" s="7"/>
      <c r="AC1771" s="7"/>
      <c r="AD1771" s="7"/>
      <c r="AE1771" s="7"/>
    </row>
    <row r="1772">
      <c r="A1772" s="7"/>
      <c r="B1772" s="21"/>
      <c r="C1772" s="21"/>
      <c r="D1772" s="21"/>
      <c r="E1772" s="21"/>
      <c r="F1772" s="21"/>
      <c r="G1772" s="21"/>
      <c r="H1772" s="21"/>
      <c r="I1772" s="21"/>
      <c r="J1772" s="21"/>
      <c r="K1772" s="21"/>
      <c r="L1772" s="21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  <c r="AA1772" s="7"/>
      <c r="AB1772" s="7"/>
      <c r="AC1772" s="7"/>
      <c r="AD1772" s="7"/>
      <c r="AE1772" s="7"/>
    </row>
    <row r="1773">
      <c r="A1773" s="7"/>
      <c r="B1773" s="21"/>
      <c r="C1773" s="21"/>
      <c r="D1773" s="21"/>
      <c r="E1773" s="21"/>
      <c r="F1773" s="21"/>
      <c r="G1773" s="21"/>
      <c r="H1773" s="21"/>
      <c r="I1773" s="21"/>
      <c r="J1773" s="21"/>
      <c r="K1773" s="21"/>
      <c r="L1773" s="21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7"/>
      <c r="Z1773" s="7"/>
      <c r="AA1773" s="7"/>
      <c r="AB1773" s="7"/>
      <c r="AC1773" s="7"/>
      <c r="AD1773" s="7"/>
      <c r="AE1773" s="7"/>
    </row>
    <row r="1774">
      <c r="A1774" s="7"/>
      <c r="B1774" s="21"/>
      <c r="C1774" s="21"/>
      <c r="D1774" s="21"/>
      <c r="E1774" s="21"/>
      <c r="F1774" s="21"/>
      <c r="G1774" s="21"/>
      <c r="H1774" s="21"/>
      <c r="I1774" s="21"/>
      <c r="J1774" s="21"/>
      <c r="K1774" s="21"/>
      <c r="L1774" s="21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7"/>
      <c r="Y1774" s="7"/>
      <c r="Z1774" s="7"/>
      <c r="AA1774" s="7"/>
      <c r="AB1774" s="7"/>
      <c r="AC1774" s="7"/>
      <c r="AD1774" s="7"/>
      <c r="AE1774" s="7"/>
    </row>
    <row r="1775">
      <c r="A1775" s="7"/>
      <c r="B1775" s="21"/>
      <c r="C1775" s="21"/>
      <c r="D1775" s="21"/>
      <c r="E1775" s="21"/>
      <c r="F1775" s="21"/>
      <c r="G1775" s="21"/>
      <c r="H1775" s="21"/>
      <c r="I1775" s="21"/>
      <c r="J1775" s="21"/>
      <c r="K1775" s="21"/>
      <c r="L1775" s="21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  <c r="AA1775" s="7"/>
      <c r="AB1775" s="7"/>
      <c r="AC1775" s="7"/>
      <c r="AD1775" s="7"/>
      <c r="AE1775" s="7"/>
    </row>
    <row r="1776">
      <c r="A1776" s="7"/>
      <c r="B1776" s="21"/>
      <c r="C1776" s="21"/>
      <c r="D1776" s="21"/>
      <c r="E1776" s="21"/>
      <c r="F1776" s="21"/>
      <c r="G1776" s="21"/>
      <c r="H1776" s="21"/>
      <c r="I1776" s="21"/>
      <c r="J1776" s="21"/>
      <c r="K1776" s="21"/>
      <c r="L1776" s="21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  <c r="AA1776" s="7"/>
      <c r="AB1776" s="7"/>
      <c r="AC1776" s="7"/>
      <c r="AD1776" s="7"/>
      <c r="AE1776" s="7"/>
    </row>
    <row r="1777">
      <c r="A1777" s="7"/>
      <c r="B1777" s="21"/>
      <c r="C1777" s="21"/>
      <c r="D1777" s="21"/>
      <c r="E1777" s="21"/>
      <c r="F1777" s="21"/>
      <c r="G1777" s="21"/>
      <c r="H1777" s="21"/>
      <c r="I1777" s="21"/>
      <c r="J1777" s="21"/>
      <c r="K1777" s="21"/>
      <c r="L1777" s="21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  <c r="AA1777" s="7"/>
      <c r="AB1777" s="7"/>
      <c r="AC1777" s="7"/>
      <c r="AD1777" s="7"/>
      <c r="AE1777" s="7"/>
    </row>
    <row r="1778">
      <c r="A1778" s="7"/>
      <c r="B1778" s="21"/>
      <c r="C1778" s="21"/>
      <c r="D1778" s="21"/>
      <c r="E1778" s="21"/>
      <c r="F1778" s="21"/>
      <c r="G1778" s="21"/>
      <c r="H1778" s="21"/>
      <c r="I1778" s="21"/>
      <c r="J1778" s="21"/>
      <c r="K1778" s="21"/>
      <c r="L1778" s="21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  <c r="AA1778" s="7"/>
      <c r="AB1778" s="7"/>
      <c r="AC1778" s="7"/>
      <c r="AD1778" s="7"/>
      <c r="AE1778" s="7"/>
    </row>
    <row r="1779">
      <c r="A1779" s="7"/>
      <c r="B1779" s="21"/>
      <c r="C1779" s="21"/>
      <c r="D1779" s="21"/>
      <c r="E1779" s="21"/>
      <c r="F1779" s="21"/>
      <c r="G1779" s="21"/>
      <c r="H1779" s="21"/>
      <c r="I1779" s="21"/>
      <c r="J1779" s="21"/>
      <c r="K1779" s="21"/>
      <c r="L1779" s="21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7"/>
      <c r="Z1779" s="7"/>
      <c r="AA1779" s="7"/>
      <c r="AB1779" s="7"/>
      <c r="AC1779" s="7"/>
      <c r="AD1779" s="7"/>
      <c r="AE1779" s="7"/>
    </row>
    <row r="1780">
      <c r="A1780" s="7"/>
      <c r="B1780" s="21"/>
      <c r="C1780" s="21"/>
      <c r="D1780" s="21"/>
      <c r="E1780" s="21"/>
      <c r="F1780" s="21"/>
      <c r="G1780" s="21"/>
      <c r="H1780" s="21"/>
      <c r="I1780" s="21"/>
      <c r="J1780" s="21"/>
      <c r="K1780" s="21"/>
      <c r="L1780" s="21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7"/>
      <c r="Y1780" s="7"/>
      <c r="Z1780" s="7"/>
      <c r="AA1780" s="7"/>
      <c r="AB1780" s="7"/>
      <c r="AC1780" s="7"/>
      <c r="AD1780" s="7"/>
      <c r="AE1780" s="7"/>
    </row>
    <row r="1781">
      <c r="A1781" s="7"/>
      <c r="B1781" s="21"/>
      <c r="C1781" s="21"/>
      <c r="D1781" s="21"/>
      <c r="E1781" s="21"/>
      <c r="F1781" s="21"/>
      <c r="G1781" s="21"/>
      <c r="H1781" s="21"/>
      <c r="I1781" s="21"/>
      <c r="J1781" s="21"/>
      <c r="K1781" s="21"/>
      <c r="L1781" s="21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  <c r="AB1781" s="7"/>
      <c r="AC1781" s="7"/>
      <c r="AD1781" s="7"/>
      <c r="AE1781" s="7"/>
    </row>
    <row r="1782">
      <c r="A1782" s="7"/>
      <c r="B1782" s="21"/>
      <c r="C1782" s="21"/>
      <c r="D1782" s="21"/>
      <c r="E1782" s="21"/>
      <c r="F1782" s="21"/>
      <c r="G1782" s="21"/>
      <c r="H1782" s="21"/>
      <c r="I1782" s="21"/>
      <c r="J1782" s="21"/>
      <c r="K1782" s="21"/>
      <c r="L1782" s="21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7"/>
      <c r="Y1782" s="7"/>
      <c r="Z1782" s="7"/>
      <c r="AA1782" s="7"/>
      <c r="AB1782" s="7"/>
      <c r="AC1782" s="7"/>
      <c r="AD1782" s="7"/>
      <c r="AE1782" s="7"/>
    </row>
    <row r="1783">
      <c r="A1783" s="7"/>
      <c r="B1783" s="21"/>
      <c r="C1783" s="21"/>
      <c r="D1783" s="21"/>
      <c r="E1783" s="21"/>
      <c r="F1783" s="21"/>
      <c r="G1783" s="21"/>
      <c r="H1783" s="21"/>
      <c r="I1783" s="21"/>
      <c r="J1783" s="21"/>
      <c r="K1783" s="21"/>
      <c r="L1783" s="21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7"/>
      <c r="Y1783" s="7"/>
      <c r="Z1783" s="7"/>
      <c r="AA1783" s="7"/>
      <c r="AB1783" s="7"/>
      <c r="AC1783" s="7"/>
      <c r="AD1783" s="7"/>
      <c r="AE1783" s="7"/>
    </row>
    <row r="1784">
      <c r="A1784" s="7"/>
      <c r="B1784" s="21"/>
      <c r="C1784" s="21"/>
      <c r="D1784" s="21"/>
      <c r="E1784" s="21"/>
      <c r="F1784" s="21"/>
      <c r="G1784" s="21"/>
      <c r="H1784" s="21"/>
      <c r="I1784" s="21"/>
      <c r="J1784" s="21"/>
      <c r="K1784" s="21"/>
      <c r="L1784" s="21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7"/>
      <c r="Y1784" s="7"/>
      <c r="Z1784" s="7"/>
      <c r="AA1784" s="7"/>
      <c r="AB1784" s="7"/>
      <c r="AC1784" s="7"/>
      <c r="AD1784" s="7"/>
      <c r="AE1784" s="7"/>
    </row>
    <row r="1785">
      <c r="A1785" s="7"/>
      <c r="B1785" s="21"/>
      <c r="C1785" s="21"/>
      <c r="D1785" s="21"/>
      <c r="E1785" s="21"/>
      <c r="F1785" s="21"/>
      <c r="G1785" s="21"/>
      <c r="H1785" s="21"/>
      <c r="I1785" s="21"/>
      <c r="J1785" s="21"/>
      <c r="K1785" s="21"/>
      <c r="L1785" s="21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  <c r="X1785" s="7"/>
      <c r="Y1785" s="7"/>
      <c r="Z1785" s="7"/>
      <c r="AA1785" s="7"/>
      <c r="AB1785" s="7"/>
      <c r="AC1785" s="7"/>
      <c r="AD1785" s="7"/>
      <c r="AE1785" s="7"/>
    </row>
    <row r="1786">
      <c r="A1786" s="7"/>
      <c r="B1786" s="21"/>
      <c r="C1786" s="21"/>
      <c r="D1786" s="21"/>
      <c r="E1786" s="21"/>
      <c r="F1786" s="21"/>
      <c r="G1786" s="21"/>
      <c r="H1786" s="21"/>
      <c r="I1786" s="21"/>
      <c r="J1786" s="21"/>
      <c r="K1786" s="21"/>
      <c r="L1786" s="21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7"/>
      <c r="Z1786" s="7"/>
      <c r="AA1786" s="7"/>
      <c r="AB1786" s="7"/>
      <c r="AC1786" s="7"/>
      <c r="AD1786" s="7"/>
      <c r="AE1786" s="7"/>
    </row>
    <row r="1787">
      <c r="A1787" s="7"/>
      <c r="B1787" s="21"/>
      <c r="C1787" s="21"/>
      <c r="D1787" s="21"/>
      <c r="E1787" s="21"/>
      <c r="F1787" s="21"/>
      <c r="G1787" s="21"/>
      <c r="H1787" s="21"/>
      <c r="I1787" s="21"/>
      <c r="J1787" s="21"/>
      <c r="K1787" s="21"/>
      <c r="L1787" s="21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  <c r="AA1787" s="7"/>
      <c r="AB1787" s="7"/>
      <c r="AC1787" s="7"/>
      <c r="AD1787" s="7"/>
      <c r="AE1787" s="7"/>
    </row>
    <row r="1788">
      <c r="A1788" s="7"/>
      <c r="B1788" s="21"/>
      <c r="C1788" s="21"/>
      <c r="D1788" s="21"/>
      <c r="E1788" s="21"/>
      <c r="F1788" s="21"/>
      <c r="G1788" s="21"/>
      <c r="H1788" s="21"/>
      <c r="I1788" s="21"/>
      <c r="J1788" s="21"/>
      <c r="K1788" s="21"/>
      <c r="L1788" s="21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7"/>
      <c r="Y1788" s="7"/>
      <c r="Z1788" s="7"/>
      <c r="AA1788" s="7"/>
      <c r="AB1788" s="7"/>
      <c r="AC1788" s="7"/>
      <c r="AD1788" s="7"/>
      <c r="AE1788" s="7"/>
    </row>
    <row r="1789">
      <c r="A1789" s="7"/>
      <c r="B1789" s="21"/>
      <c r="C1789" s="21"/>
      <c r="D1789" s="21"/>
      <c r="E1789" s="21"/>
      <c r="F1789" s="21"/>
      <c r="G1789" s="21"/>
      <c r="H1789" s="21"/>
      <c r="I1789" s="21"/>
      <c r="J1789" s="21"/>
      <c r="K1789" s="21"/>
      <c r="L1789" s="21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  <c r="AB1789" s="7"/>
      <c r="AC1789" s="7"/>
      <c r="AD1789" s="7"/>
      <c r="AE1789" s="7"/>
    </row>
    <row r="1790">
      <c r="A1790" s="7"/>
      <c r="B1790" s="21"/>
      <c r="C1790" s="21"/>
      <c r="D1790" s="21"/>
      <c r="E1790" s="21"/>
      <c r="F1790" s="21"/>
      <c r="G1790" s="21"/>
      <c r="H1790" s="21"/>
      <c r="I1790" s="21"/>
      <c r="J1790" s="21"/>
      <c r="K1790" s="21"/>
      <c r="L1790" s="21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  <c r="AB1790" s="7"/>
      <c r="AC1790" s="7"/>
      <c r="AD1790" s="7"/>
      <c r="AE1790" s="7"/>
    </row>
    <row r="1791">
      <c r="A1791" s="7"/>
      <c r="B1791" s="21"/>
      <c r="C1791" s="21"/>
      <c r="D1791" s="21"/>
      <c r="E1791" s="21"/>
      <c r="F1791" s="21"/>
      <c r="G1791" s="21"/>
      <c r="H1791" s="21"/>
      <c r="I1791" s="21"/>
      <c r="J1791" s="21"/>
      <c r="K1791" s="21"/>
      <c r="L1791" s="21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7"/>
      <c r="Y1791" s="7"/>
      <c r="Z1791" s="7"/>
      <c r="AA1791" s="7"/>
      <c r="AB1791" s="7"/>
      <c r="AC1791" s="7"/>
      <c r="AD1791" s="7"/>
      <c r="AE1791" s="7"/>
    </row>
    <row r="1792">
      <c r="A1792" s="7"/>
      <c r="B1792" s="21"/>
      <c r="C1792" s="21"/>
      <c r="D1792" s="21"/>
      <c r="E1792" s="21"/>
      <c r="F1792" s="21"/>
      <c r="G1792" s="21"/>
      <c r="H1792" s="21"/>
      <c r="I1792" s="21"/>
      <c r="J1792" s="21"/>
      <c r="K1792" s="21"/>
      <c r="L1792" s="21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  <c r="Z1792" s="7"/>
      <c r="AA1792" s="7"/>
      <c r="AB1792" s="7"/>
      <c r="AC1792" s="7"/>
      <c r="AD1792" s="7"/>
      <c r="AE1792" s="7"/>
    </row>
    <row r="1793">
      <c r="A1793" s="7"/>
      <c r="B1793" s="21"/>
      <c r="C1793" s="21"/>
      <c r="D1793" s="21"/>
      <c r="E1793" s="21"/>
      <c r="F1793" s="21"/>
      <c r="G1793" s="21"/>
      <c r="H1793" s="21"/>
      <c r="I1793" s="21"/>
      <c r="J1793" s="21"/>
      <c r="K1793" s="21"/>
      <c r="L1793" s="21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  <c r="AB1793" s="7"/>
      <c r="AC1793" s="7"/>
      <c r="AD1793" s="7"/>
      <c r="AE1793" s="7"/>
    </row>
    <row r="1794">
      <c r="A1794" s="7"/>
      <c r="B1794" s="21"/>
      <c r="C1794" s="21"/>
      <c r="D1794" s="21"/>
      <c r="E1794" s="21"/>
      <c r="F1794" s="21"/>
      <c r="G1794" s="21"/>
      <c r="H1794" s="21"/>
      <c r="I1794" s="21"/>
      <c r="J1794" s="21"/>
      <c r="K1794" s="21"/>
      <c r="L1794" s="21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7"/>
      <c r="Y1794" s="7"/>
      <c r="Z1794" s="7"/>
      <c r="AA1794" s="7"/>
      <c r="AB1794" s="7"/>
      <c r="AC1794" s="7"/>
      <c r="AD1794" s="7"/>
      <c r="AE1794" s="7"/>
    </row>
    <row r="1795">
      <c r="A1795" s="7"/>
      <c r="B1795" s="21"/>
      <c r="C1795" s="21"/>
      <c r="D1795" s="21"/>
      <c r="E1795" s="21"/>
      <c r="F1795" s="21"/>
      <c r="G1795" s="21"/>
      <c r="H1795" s="21"/>
      <c r="I1795" s="21"/>
      <c r="J1795" s="21"/>
      <c r="K1795" s="21"/>
      <c r="L1795" s="21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7"/>
      <c r="Y1795" s="7"/>
      <c r="Z1795" s="7"/>
      <c r="AA1795" s="7"/>
      <c r="AB1795" s="7"/>
      <c r="AC1795" s="7"/>
      <c r="AD1795" s="7"/>
      <c r="AE1795" s="7"/>
    </row>
    <row r="1796">
      <c r="A1796" s="7"/>
      <c r="B1796" s="21"/>
      <c r="C1796" s="21"/>
      <c r="D1796" s="21"/>
      <c r="E1796" s="21"/>
      <c r="F1796" s="21"/>
      <c r="G1796" s="21"/>
      <c r="H1796" s="21"/>
      <c r="I1796" s="21"/>
      <c r="J1796" s="21"/>
      <c r="K1796" s="21"/>
      <c r="L1796" s="21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7"/>
      <c r="Y1796" s="7"/>
      <c r="Z1796" s="7"/>
      <c r="AA1796" s="7"/>
      <c r="AB1796" s="7"/>
      <c r="AC1796" s="7"/>
      <c r="AD1796" s="7"/>
      <c r="AE1796" s="7"/>
    </row>
    <row r="1797">
      <c r="A1797" s="7"/>
      <c r="B1797" s="21"/>
      <c r="C1797" s="21"/>
      <c r="D1797" s="21"/>
      <c r="E1797" s="21"/>
      <c r="F1797" s="21"/>
      <c r="G1797" s="21"/>
      <c r="H1797" s="21"/>
      <c r="I1797" s="21"/>
      <c r="J1797" s="21"/>
      <c r="K1797" s="21"/>
      <c r="L1797" s="21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  <c r="Z1797" s="7"/>
      <c r="AA1797" s="7"/>
      <c r="AB1797" s="7"/>
      <c r="AC1797" s="7"/>
      <c r="AD1797" s="7"/>
      <c r="AE1797" s="7"/>
    </row>
    <row r="1798">
      <c r="A1798" s="7"/>
      <c r="B1798" s="21"/>
      <c r="C1798" s="21"/>
      <c r="D1798" s="21"/>
      <c r="E1798" s="21"/>
      <c r="F1798" s="21"/>
      <c r="G1798" s="21"/>
      <c r="H1798" s="21"/>
      <c r="I1798" s="21"/>
      <c r="J1798" s="21"/>
      <c r="K1798" s="21"/>
      <c r="L1798" s="21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7"/>
      <c r="Z1798" s="7"/>
      <c r="AA1798" s="7"/>
      <c r="AB1798" s="7"/>
      <c r="AC1798" s="7"/>
      <c r="AD1798" s="7"/>
      <c r="AE1798" s="7"/>
    </row>
    <row r="1799">
      <c r="A1799" s="7"/>
      <c r="B1799" s="21"/>
      <c r="C1799" s="21"/>
      <c r="D1799" s="21"/>
      <c r="E1799" s="21"/>
      <c r="F1799" s="21"/>
      <c r="G1799" s="21"/>
      <c r="H1799" s="21"/>
      <c r="I1799" s="21"/>
      <c r="J1799" s="21"/>
      <c r="K1799" s="21"/>
      <c r="L1799" s="21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  <c r="AB1799" s="7"/>
      <c r="AC1799" s="7"/>
      <c r="AD1799" s="7"/>
      <c r="AE1799" s="7"/>
    </row>
    <row r="1800">
      <c r="A1800" s="7"/>
      <c r="B1800" s="21"/>
      <c r="C1800" s="21"/>
      <c r="D1800" s="21"/>
      <c r="E1800" s="21"/>
      <c r="F1800" s="21"/>
      <c r="G1800" s="21"/>
      <c r="H1800" s="21"/>
      <c r="I1800" s="21"/>
      <c r="J1800" s="21"/>
      <c r="K1800" s="21"/>
      <c r="L1800" s="21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  <c r="AB1800" s="7"/>
      <c r="AC1800" s="7"/>
      <c r="AD1800" s="7"/>
      <c r="AE1800" s="7"/>
    </row>
    <row r="1801">
      <c r="A1801" s="7"/>
      <c r="B1801" s="21"/>
      <c r="C1801" s="21"/>
      <c r="D1801" s="21"/>
      <c r="E1801" s="21"/>
      <c r="F1801" s="21"/>
      <c r="G1801" s="21"/>
      <c r="H1801" s="21"/>
      <c r="I1801" s="21"/>
      <c r="J1801" s="21"/>
      <c r="K1801" s="21"/>
      <c r="L1801" s="21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7"/>
      <c r="Y1801" s="7"/>
      <c r="Z1801" s="7"/>
      <c r="AA1801" s="7"/>
      <c r="AB1801" s="7"/>
      <c r="AC1801" s="7"/>
      <c r="AD1801" s="7"/>
      <c r="AE1801" s="7"/>
    </row>
    <row r="1802">
      <c r="A1802" s="7"/>
      <c r="B1802" s="21"/>
      <c r="C1802" s="21"/>
      <c r="D1802" s="21"/>
      <c r="E1802" s="21"/>
      <c r="F1802" s="21"/>
      <c r="G1802" s="21"/>
      <c r="H1802" s="21"/>
      <c r="I1802" s="21"/>
      <c r="J1802" s="21"/>
      <c r="K1802" s="21"/>
      <c r="L1802" s="21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  <c r="AA1802" s="7"/>
      <c r="AB1802" s="7"/>
      <c r="AC1802" s="7"/>
      <c r="AD1802" s="7"/>
      <c r="AE1802" s="7"/>
    </row>
    <row r="1803">
      <c r="A1803" s="7"/>
      <c r="B1803" s="21"/>
      <c r="C1803" s="21"/>
      <c r="D1803" s="21"/>
      <c r="E1803" s="21"/>
      <c r="F1803" s="21"/>
      <c r="G1803" s="21"/>
      <c r="H1803" s="21"/>
      <c r="I1803" s="21"/>
      <c r="J1803" s="21"/>
      <c r="K1803" s="21"/>
      <c r="L1803" s="21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7"/>
      <c r="Y1803" s="7"/>
      <c r="Z1803" s="7"/>
      <c r="AA1803" s="7"/>
      <c r="AB1803" s="7"/>
      <c r="AC1803" s="7"/>
      <c r="AD1803" s="7"/>
      <c r="AE1803" s="7"/>
    </row>
    <row r="1804">
      <c r="A1804" s="7"/>
      <c r="B1804" s="21"/>
      <c r="C1804" s="21"/>
      <c r="D1804" s="21"/>
      <c r="E1804" s="21"/>
      <c r="F1804" s="21"/>
      <c r="G1804" s="21"/>
      <c r="H1804" s="21"/>
      <c r="I1804" s="21"/>
      <c r="J1804" s="21"/>
      <c r="K1804" s="21"/>
      <c r="L1804" s="21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7"/>
      <c r="Y1804" s="7"/>
      <c r="Z1804" s="7"/>
      <c r="AA1804" s="7"/>
      <c r="AB1804" s="7"/>
      <c r="AC1804" s="7"/>
      <c r="AD1804" s="7"/>
      <c r="AE1804" s="7"/>
    </row>
    <row r="1805">
      <c r="A1805" s="7"/>
      <c r="B1805" s="21"/>
      <c r="C1805" s="21"/>
      <c r="D1805" s="21"/>
      <c r="E1805" s="21"/>
      <c r="F1805" s="21"/>
      <c r="G1805" s="21"/>
      <c r="H1805" s="21"/>
      <c r="I1805" s="21"/>
      <c r="J1805" s="21"/>
      <c r="K1805" s="21"/>
      <c r="L1805" s="21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  <c r="AA1805" s="7"/>
      <c r="AB1805" s="7"/>
      <c r="AC1805" s="7"/>
      <c r="AD1805" s="7"/>
      <c r="AE1805" s="7"/>
    </row>
    <row r="1806">
      <c r="A1806" s="7"/>
      <c r="B1806" s="21"/>
      <c r="C1806" s="21"/>
      <c r="D1806" s="21"/>
      <c r="E1806" s="21"/>
      <c r="F1806" s="21"/>
      <c r="G1806" s="21"/>
      <c r="H1806" s="21"/>
      <c r="I1806" s="21"/>
      <c r="J1806" s="21"/>
      <c r="K1806" s="21"/>
      <c r="L1806" s="21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  <c r="AA1806" s="7"/>
      <c r="AB1806" s="7"/>
      <c r="AC1806" s="7"/>
      <c r="AD1806" s="7"/>
      <c r="AE1806" s="7"/>
    </row>
    <row r="1807">
      <c r="A1807" s="7"/>
      <c r="B1807" s="21"/>
      <c r="C1807" s="21"/>
      <c r="D1807" s="21"/>
      <c r="E1807" s="21"/>
      <c r="F1807" s="21"/>
      <c r="G1807" s="21"/>
      <c r="H1807" s="21"/>
      <c r="I1807" s="21"/>
      <c r="J1807" s="21"/>
      <c r="K1807" s="21"/>
      <c r="L1807" s="21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  <c r="AA1807" s="7"/>
      <c r="AB1807" s="7"/>
      <c r="AC1807" s="7"/>
      <c r="AD1807" s="7"/>
      <c r="AE1807" s="7"/>
    </row>
    <row r="1808">
      <c r="A1808" s="7"/>
      <c r="B1808" s="21"/>
      <c r="C1808" s="21"/>
      <c r="D1808" s="21"/>
      <c r="E1808" s="21"/>
      <c r="F1808" s="21"/>
      <c r="G1808" s="21"/>
      <c r="H1808" s="21"/>
      <c r="I1808" s="21"/>
      <c r="J1808" s="21"/>
      <c r="K1808" s="21"/>
      <c r="L1808" s="21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  <c r="AA1808" s="7"/>
      <c r="AB1808" s="7"/>
      <c r="AC1808" s="7"/>
      <c r="AD1808" s="7"/>
      <c r="AE1808" s="7"/>
    </row>
    <row r="1809">
      <c r="A1809" s="7"/>
      <c r="B1809" s="21"/>
      <c r="C1809" s="21"/>
      <c r="D1809" s="21"/>
      <c r="E1809" s="21"/>
      <c r="F1809" s="21"/>
      <c r="G1809" s="21"/>
      <c r="H1809" s="21"/>
      <c r="I1809" s="21"/>
      <c r="J1809" s="21"/>
      <c r="K1809" s="21"/>
      <c r="L1809" s="21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7"/>
      <c r="Y1809" s="7"/>
      <c r="Z1809" s="7"/>
      <c r="AA1809" s="7"/>
      <c r="AB1809" s="7"/>
      <c r="AC1809" s="7"/>
      <c r="AD1809" s="7"/>
      <c r="AE1809" s="7"/>
    </row>
    <row r="1810">
      <c r="A1810" s="7"/>
      <c r="B1810" s="21"/>
      <c r="C1810" s="21"/>
      <c r="D1810" s="21"/>
      <c r="E1810" s="21"/>
      <c r="F1810" s="21"/>
      <c r="G1810" s="21"/>
      <c r="H1810" s="21"/>
      <c r="I1810" s="21"/>
      <c r="J1810" s="21"/>
      <c r="K1810" s="21"/>
      <c r="L1810" s="21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/>
      <c r="Z1810" s="7"/>
      <c r="AA1810" s="7"/>
      <c r="AB1810" s="7"/>
      <c r="AC1810" s="7"/>
      <c r="AD1810" s="7"/>
      <c r="AE1810" s="7"/>
    </row>
    <row r="1811">
      <c r="A1811" s="7"/>
      <c r="B1811" s="21"/>
      <c r="C1811" s="21"/>
      <c r="D1811" s="21"/>
      <c r="E1811" s="21"/>
      <c r="F1811" s="21"/>
      <c r="G1811" s="21"/>
      <c r="H1811" s="21"/>
      <c r="I1811" s="21"/>
      <c r="J1811" s="21"/>
      <c r="K1811" s="21"/>
      <c r="L1811" s="21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  <c r="AA1811" s="7"/>
      <c r="AB1811" s="7"/>
      <c r="AC1811" s="7"/>
      <c r="AD1811" s="7"/>
      <c r="AE1811" s="7"/>
    </row>
    <row r="1812">
      <c r="A1812" s="7"/>
      <c r="B1812" s="21"/>
      <c r="C1812" s="21"/>
      <c r="D1812" s="21"/>
      <c r="E1812" s="21"/>
      <c r="F1812" s="21"/>
      <c r="G1812" s="21"/>
      <c r="H1812" s="21"/>
      <c r="I1812" s="21"/>
      <c r="J1812" s="21"/>
      <c r="K1812" s="21"/>
      <c r="L1812" s="21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  <c r="AA1812" s="7"/>
      <c r="AB1812" s="7"/>
      <c r="AC1812" s="7"/>
      <c r="AD1812" s="7"/>
      <c r="AE1812" s="7"/>
    </row>
    <row r="1813">
      <c r="A1813" s="7"/>
      <c r="B1813" s="21"/>
      <c r="C1813" s="21"/>
      <c r="D1813" s="21"/>
      <c r="E1813" s="21"/>
      <c r="F1813" s="21"/>
      <c r="G1813" s="21"/>
      <c r="H1813" s="21"/>
      <c r="I1813" s="21"/>
      <c r="J1813" s="21"/>
      <c r="K1813" s="21"/>
      <c r="L1813" s="21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  <c r="AA1813" s="7"/>
      <c r="AB1813" s="7"/>
      <c r="AC1813" s="7"/>
      <c r="AD1813" s="7"/>
      <c r="AE1813" s="7"/>
    </row>
    <row r="1814">
      <c r="A1814" s="7"/>
      <c r="B1814" s="21"/>
      <c r="C1814" s="21"/>
      <c r="D1814" s="21"/>
      <c r="E1814" s="21"/>
      <c r="F1814" s="21"/>
      <c r="G1814" s="21"/>
      <c r="H1814" s="21"/>
      <c r="I1814" s="21"/>
      <c r="J1814" s="21"/>
      <c r="K1814" s="21"/>
      <c r="L1814" s="21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  <c r="AA1814" s="7"/>
      <c r="AB1814" s="7"/>
      <c r="AC1814" s="7"/>
      <c r="AD1814" s="7"/>
      <c r="AE1814" s="7"/>
    </row>
    <row r="1815">
      <c r="A1815" s="7"/>
      <c r="B1815" s="21"/>
      <c r="C1815" s="21"/>
      <c r="D1815" s="21"/>
      <c r="E1815" s="21"/>
      <c r="F1815" s="21"/>
      <c r="G1815" s="21"/>
      <c r="H1815" s="21"/>
      <c r="I1815" s="21"/>
      <c r="J1815" s="21"/>
      <c r="K1815" s="21"/>
      <c r="L1815" s="21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7"/>
      <c r="Z1815" s="7"/>
      <c r="AA1815" s="7"/>
      <c r="AB1815" s="7"/>
      <c r="AC1815" s="7"/>
      <c r="AD1815" s="7"/>
      <c r="AE1815" s="7"/>
    </row>
    <row r="1816">
      <c r="A1816" s="7"/>
      <c r="B1816" s="21"/>
      <c r="C1816" s="21"/>
      <c r="D1816" s="21"/>
      <c r="E1816" s="21"/>
      <c r="F1816" s="21"/>
      <c r="G1816" s="21"/>
      <c r="H1816" s="21"/>
      <c r="I1816" s="21"/>
      <c r="J1816" s="21"/>
      <c r="K1816" s="21"/>
      <c r="L1816" s="21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7"/>
      <c r="Z1816" s="7"/>
      <c r="AA1816" s="7"/>
      <c r="AB1816" s="7"/>
      <c r="AC1816" s="7"/>
      <c r="AD1816" s="7"/>
      <c r="AE1816" s="7"/>
    </row>
    <row r="1817">
      <c r="A1817" s="7"/>
      <c r="B1817" s="21"/>
      <c r="C1817" s="21"/>
      <c r="D1817" s="21"/>
      <c r="E1817" s="21"/>
      <c r="F1817" s="21"/>
      <c r="G1817" s="21"/>
      <c r="H1817" s="21"/>
      <c r="I1817" s="21"/>
      <c r="J1817" s="21"/>
      <c r="K1817" s="21"/>
      <c r="L1817" s="21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7"/>
      <c r="Z1817" s="7"/>
      <c r="AA1817" s="7"/>
      <c r="AB1817" s="7"/>
      <c r="AC1817" s="7"/>
      <c r="AD1817" s="7"/>
      <c r="AE1817" s="7"/>
    </row>
    <row r="1818">
      <c r="A1818" s="7"/>
      <c r="B1818" s="21"/>
      <c r="C1818" s="21"/>
      <c r="D1818" s="21"/>
      <c r="E1818" s="21"/>
      <c r="F1818" s="21"/>
      <c r="G1818" s="21"/>
      <c r="H1818" s="21"/>
      <c r="I1818" s="21"/>
      <c r="J1818" s="21"/>
      <c r="K1818" s="21"/>
      <c r="L1818" s="21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  <c r="AA1818" s="7"/>
      <c r="AB1818" s="7"/>
      <c r="AC1818" s="7"/>
      <c r="AD1818" s="7"/>
      <c r="AE1818" s="7"/>
    </row>
    <row r="1819">
      <c r="A1819" s="7"/>
      <c r="B1819" s="21"/>
      <c r="C1819" s="21"/>
      <c r="D1819" s="21"/>
      <c r="E1819" s="21"/>
      <c r="F1819" s="21"/>
      <c r="G1819" s="21"/>
      <c r="H1819" s="21"/>
      <c r="I1819" s="21"/>
      <c r="J1819" s="21"/>
      <c r="K1819" s="21"/>
      <c r="L1819" s="21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  <c r="AA1819" s="7"/>
      <c r="AB1819" s="7"/>
      <c r="AC1819" s="7"/>
      <c r="AD1819" s="7"/>
      <c r="AE1819" s="7"/>
    </row>
    <row r="1820">
      <c r="A1820" s="7"/>
      <c r="B1820" s="21"/>
      <c r="C1820" s="21"/>
      <c r="D1820" s="21"/>
      <c r="E1820" s="21"/>
      <c r="F1820" s="21"/>
      <c r="G1820" s="21"/>
      <c r="H1820" s="21"/>
      <c r="I1820" s="21"/>
      <c r="J1820" s="21"/>
      <c r="K1820" s="21"/>
      <c r="L1820" s="21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  <c r="AA1820" s="7"/>
      <c r="AB1820" s="7"/>
      <c r="AC1820" s="7"/>
      <c r="AD1820" s="7"/>
      <c r="AE1820" s="7"/>
    </row>
    <row r="1821">
      <c r="A1821" s="7"/>
      <c r="B1821" s="21"/>
      <c r="C1821" s="21"/>
      <c r="D1821" s="21"/>
      <c r="E1821" s="21"/>
      <c r="F1821" s="21"/>
      <c r="G1821" s="21"/>
      <c r="H1821" s="21"/>
      <c r="I1821" s="21"/>
      <c r="J1821" s="21"/>
      <c r="K1821" s="21"/>
      <c r="L1821" s="21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7"/>
      <c r="Z1821" s="7"/>
      <c r="AA1821" s="7"/>
      <c r="AB1821" s="7"/>
      <c r="AC1821" s="7"/>
      <c r="AD1821" s="7"/>
      <c r="AE1821" s="7"/>
    </row>
    <row r="1822">
      <c r="A1822" s="7"/>
      <c r="B1822" s="21"/>
      <c r="C1822" s="21"/>
      <c r="D1822" s="21"/>
      <c r="E1822" s="21"/>
      <c r="F1822" s="21"/>
      <c r="G1822" s="21"/>
      <c r="H1822" s="21"/>
      <c r="I1822" s="21"/>
      <c r="J1822" s="21"/>
      <c r="K1822" s="21"/>
      <c r="L1822" s="21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7"/>
      <c r="Z1822" s="7"/>
      <c r="AA1822" s="7"/>
      <c r="AB1822" s="7"/>
      <c r="AC1822" s="7"/>
      <c r="AD1822" s="7"/>
      <c r="AE1822" s="7"/>
    </row>
    <row r="1823">
      <c r="A1823" s="7"/>
      <c r="B1823" s="21"/>
      <c r="C1823" s="21"/>
      <c r="D1823" s="21"/>
      <c r="E1823" s="21"/>
      <c r="F1823" s="21"/>
      <c r="G1823" s="21"/>
      <c r="H1823" s="21"/>
      <c r="I1823" s="21"/>
      <c r="J1823" s="21"/>
      <c r="K1823" s="21"/>
      <c r="L1823" s="21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  <c r="AA1823" s="7"/>
      <c r="AB1823" s="7"/>
      <c r="AC1823" s="7"/>
      <c r="AD1823" s="7"/>
      <c r="AE1823" s="7"/>
    </row>
    <row r="1824">
      <c r="A1824" s="7"/>
      <c r="B1824" s="21"/>
      <c r="C1824" s="21"/>
      <c r="D1824" s="21"/>
      <c r="E1824" s="21"/>
      <c r="F1824" s="21"/>
      <c r="G1824" s="21"/>
      <c r="H1824" s="21"/>
      <c r="I1824" s="21"/>
      <c r="J1824" s="21"/>
      <c r="K1824" s="21"/>
      <c r="L1824" s="21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7"/>
      <c r="Y1824" s="7"/>
      <c r="Z1824" s="7"/>
      <c r="AA1824" s="7"/>
      <c r="AB1824" s="7"/>
      <c r="AC1824" s="7"/>
      <c r="AD1824" s="7"/>
      <c r="AE1824" s="7"/>
    </row>
    <row r="1825">
      <c r="A1825" s="7"/>
      <c r="B1825" s="21"/>
      <c r="C1825" s="21"/>
      <c r="D1825" s="21"/>
      <c r="E1825" s="21"/>
      <c r="F1825" s="21"/>
      <c r="G1825" s="21"/>
      <c r="H1825" s="21"/>
      <c r="I1825" s="21"/>
      <c r="J1825" s="21"/>
      <c r="K1825" s="21"/>
      <c r="L1825" s="21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  <c r="AA1825" s="7"/>
      <c r="AB1825" s="7"/>
      <c r="AC1825" s="7"/>
      <c r="AD1825" s="7"/>
      <c r="AE1825" s="7"/>
    </row>
    <row r="1826">
      <c r="A1826" s="7"/>
      <c r="B1826" s="21"/>
      <c r="C1826" s="21"/>
      <c r="D1826" s="21"/>
      <c r="E1826" s="21"/>
      <c r="F1826" s="21"/>
      <c r="G1826" s="21"/>
      <c r="H1826" s="21"/>
      <c r="I1826" s="21"/>
      <c r="J1826" s="21"/>
      <c r="K1826" s="21"/>
      <c r="L1826" s="21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7"/>
      <c r="Y1826" s="7"/>
      <c r="Z1826" s="7"/>
      <c r="AA1826" s="7"/>
      <c r="AB1826" s="7"/>
      <c r="AC1826" s="7"/>
      <c r="AD1826" s="7"/>
      <c r="AE1826" s="7"/>
    </row>
    <row r="1827">
      <c r="A1827" s="7"/>
      <c r="B1827" s="21"/>
      <c r="C1827" s="21"/>
      <c r="D1827" s="21"/>
      <c r="E1827" s="21"/>
      <c r="F1827" s="21"/>
      <c r="G1827" s="21"/>
      <c r="H1827" s="21"/>
      <c r="I1827" s="21"/>
      <c r="J1827" s="21"/>
      <c r="K1827" s="21"/>
      <c r="L1827" s="21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7"/>
      <c r="Y1827" s="7"/>
      <c r="Z1827" s="7"/>
      <c r="AA1827" s="7"/>
      <c r="AB1827" s="7"/>
      <c r="AC1827" s="7"/>
      <c r="AD1827" s="7"/>
      <c r="AE1827" s="7"/>
    </row>
    <row r="1828">
      <c r="A1828" s="7"/>
      <c r="B1828" s="21"/>
      <c r="C1828" s="21"/>
      <c r="D1828" s="21"/>
      <c r="E1828" s="21"/>
      <c r="F1828" s="21"/>
      <c r="G1828" s="21"/>
      <c r="H1828" s="21"/>
      <c r="I1828" s="21"/>
      <c r="J1828" s="21"/>
      <c r="K1828" s="21"/>
      <c r="L1828" s="21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7"/>
      <c r="Z1828" s="7"/>
      <c r="AA1828" s="7"/>
      <c r="AB1828" s="7"/>
      <c r="AC1828" s="7"/>
      <c r="AD1828" s="7"/>
      <c r="AE1828" s="7"/>
    </row>
    <row r="1829">
      <c r="A1829" s="7"/>
      <c r="B1829" s="21"/>
      <c r="C1829" s="21"/>
      <c r="D1829" s="21"/>
      <c r="E1829" s="21"/>
      <c r="F1829" s="21"/>
      <c r="G1829" s="21"/>
      <c r="H1829" s="21"/>
      <c r="I1829" s="21"/>
      <c r="J1829" s="21"/>
      <c r="K1829" s="21"/>
      <c r="L1829" s="21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  <c r="AB1829" s="7"/>
      <c r="AC1829" s="7"/>
      <c r="AD1829" s="7"/>
      <c r="AE1829" s="7"/>
    </row>
    <row r="1830">
      <c r="A1830" s="7"/>
      <c r="B1830" s="21"/>
      <c r="C1830" s="21"/>
      <c r="D1830" s="21"/>
      <c r="E1830" s="21"/>
      <c r="F1830" s="21"/>
      <c r="G1830" s="21"/>
      <c r="H1830" s="21"/>
      <c r="I1830" s="21"/>
      <c r="J1830" s="21"/>
      <c r="K1830" s="21"/>
      <c r="L1830" s="21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  <c r="AA1830" s="7"/>
      <c r="AB1830" s="7"/>
      <c r="AC1830" s="7"/>
      <c r="AD1830" s="7"/>
      <c r="AE1830" s="7"/>
    </row>
    <row r="1831">
      <c r="A1831" s="7"/>
      <c r="B1831" s="21"/>
      <c r="C1831" s="21"/>
      <c r="D1831" s="21"/>
      <c r="E1831" s="21"/>
      <c r="F1831" s="21"/>
      <c r="G1831" s="21"/>
      <c r="H1831" s="21"/>
      <c r="I1831" s="21"/>
      <c r="J1831" s="21"/>
      <c r="K1831" s="21"/>
      <c r="L1831" s="21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  <c r="AB1831" s="7"/>
      <c r="AC1831" s="7"/>
      <c r="AD1831" s="7"/>
      <c r="AE1831" s="7"/>
    </row>
    <row r="1832">
      <c r="A1832" s="7"/>
      <c r="B1832" s="21"/>
      <c r="C1832" s="21"/>
      <c r="D1832" s="21"/>
      <c r="E1832" s="21"/>
      <c r="F1832" s="21"/>
      <c r="G1832" s="21"/>
      <c r="H1832" s="21"/>
      <c r="I1832" s="21"/>
      <c r="J1832" s="21"/>
      <c r="K1832" s="21"/>
      <c r="L1832" s="21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</row>
    <row r="1833">
      <c r="A1833" s="7"/>
      <c r="B1833" s="21"/>
      <c r="C1833" s="21"/>
      <c r="D1833" s="21"/>
      <c r="E1833" s="21"/>
      <c r="F1833" s="21"/>
      <c r="G1833" s="21"/>
      <c r="H1833" s="21"/>
      <c r="I1833" s="21"/>
      <c r="J1833" s="21"/>
      <c r="K1833" s="21"/>
      <c r="L1833" s="21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</row>
    <row r="1834">
      <c r="A1834" s="7"/>
      <c r="B1834" s="21"/>
      <c r="C1834" s="21"/>
      <c r="D1834" s="21"/>
      <c r="E1834" s="21"/>
      <c r="F1834" s="21"/>
      <c r="G1834" s="21"/>
      <c r="H1834" s="21"/>
      <c r="I1834" s="21"/>
      <c r="J1834" s="21"/>
      <c r="K1834" s="21"/>
      <c r="L1834" s="21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</row>
    <row r="1835">
      <c r="A1835" s="7"/>
      <c r="B1835" s="21"/>
      <c r="C1835" s="21"/>
      <c r="D1835" s="21"/>
      <c r="E1835" s="21"/>
      <c r="F1835" s="21"/>
      <c r="G1835" s="21"/>
      <c r="H1835" s="21"/>
      <c r="I1835" s="21"/>
      <c r="J1835" s="21"/>
      <c r="K1835" s="21"/>
      <c r="L1835" s="21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  <c r="AB1835" s="7"/>
      <c r="AC1835" s="7"/>
      <c r="AD1835" s="7"/>
      <c r="AE1835" s="7"/>
    </row>
    <row r="1836">
      <c r="A1836" s="7"/>
      <c r="B1836" s="21"/>
      <c r="C1836" s="21"/>
      <c r="D1836" s="21"/>
      <c r="E1836" s="21"/>
      <c r="F1836" s="21"/>
      <c r="G1836" s="21"/>
      <c r="H1836" s="21"/>
      <c r="I1836" s="21"/>
      <c r="J1836" s="21"/>
      <c r="K1836" s="21"/>
      <c r="L1836" s="21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7"/>
      <c r="Y1836" s="7"/>
      <c r="Z1836" s="7"/>
      <c r="AA1836" s="7"/>
      <c r="AB1836" s="7"/>
      <c r="AC1836" s="7"/>
      <c r="AD1836" s="7"/>
      <c r="AE1836" s="7"/>
    </row>
    <row r="1837">
      <c r="A1837" s="7"/>
      <c r="B1837" s="21"/>
      <c r="C1837" s="21"/>
      <c r="D1837" s="21"/>
      <c r="E1837" s="21"/>
      <c r="F1837" s="21"/>
      <c r="G1837" s="21"/>
      <c r="H1837" s="21"/>
      <c r="I1837" s="21"/>
      <c r="J1837" s="21"/>
      <c r="K1837" s="21"/>
      <c r="L1837" s="21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7"/>
      <c r="Y1837" s="7"/>
      <c r="Z1837" s="7"/>
      <c r="AA1837" s="7"/>
      <c r="AB1837" s="7"/>
      <c r="AC1837" s="7"/>
      <c r="AD1837" s="7"/>
      <c r="AE1837" s="7"/>
    </row>
    <row r="1838">
      <c r="A1838" s="7"/>
      <c r="B1838" s="21"/>
      <c r="C1838" s="21"/>
      <c r="D1838" s="21"/>
      <c r="E1838" s="21"/>
      <c r="F1838" s="21"/>
      <c r="G1838" s="21"/>
      <c r="H1838" s="21"/>
      <c r="I1838" s="21"/>
      <c r="J1838" s="21"/>
      <c r="K1838" s="21"/>
      <c r="L1838" s="21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7"/>
      <c r="Z1838" s="7"/>
      <c r="AA1838" s="7"/>
      <c r="AB1838" s="7"/>
      <c r="AC1838" s="7"/>
      <c r="AD1838" s="7"/>
      <c r="AE1838" s="7"/>
    </row>
    <row r="1839">
      <c r="A1839" s="7"/>
      <c r="B1839" s="21"/>
      <c r="C1839" s="21"/>
      <c r="D1839" s="21"/>
      <c r="E1839" s="21"/>
      <c r="F1839" s="21"/>
      <c r="G1839" s="21"/>
      <c r="H1839" s="21"/>
      <c r="I1839" s="21"/>
      <c r="J1839" s="21"/>
      <c r="K1839" s="21"/>
      <c r="L1839" s="21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7"/>
      <c r="Z1839" s="7"/>
      <c r="AA1839" s="7"/>
      <c r="AB1839" s="7"/>
      <c r="AC1839" s="7"/>
      <c r="AD1839" s="7"/>
      <c r="AE1839" s="7"/>
    </row>
    <row r="1840">
      <c r="A1840" s="7"/>
      <c r="B1840" s="21"/>
      <c r="C1840" s="21"/>
      <c r="D1840" s="21"/>
      <c r="E1840" s="21"/>
      <c r="F1840" s="21"/>
      <c r="G1840" s="21"/>
      <c r="H1840" s="21"/>
      <c r="I1840" s="21"/>
      <c r="J1840" s="21"/>
      <c r="K1840" s="21"/>
      <c r="L1840" s="21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7"/>
      <c r="Y1840" s="7"/>
      <c r="Z1840" s="7"/>
      <c r="AA1840" s="7"/>
      <c r="AB1840" s="7"/>
      <c r="AC1840" s="7"/>
      <c r="AD1840" s="7"/>
      <c r="AE1840" s="7"/>
    </row>
    <row r="1841">
      <c r="A1841" s="7"/>
      <c r="B1841" s="21"/>
      <c r="C1841" s="21"/>
      <c r="D1841" s="21"/>
      <c r="E1841" s="21"/>
      <c r="F1841" s="21"/>
      <c r="G1841" s="21"/>
      <c r="H1841" s="21"/>
      <c r="I1841" s="21"/>
      <c r="J1841" s="21"/>
      <c r="K1841" s="21"/>
      <c r="L1841" s="21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  <c r="AB1841" s="7"/>
      <c r="AC1841" s="7"/>
      <c r="AD1841" s="7"/>
      <c r="AE1841" s="7"/>
    </row>
    <row r="1842">
      <c r="A1842" s="7"/>
      <c r="B1842" s="21"/>
      <c r="C1842" s="21"/>
      <c r="D1842" s="21"/>
      <c r="E1842" s="21"/>
      <c r="F1842" s="21"/>
      <c r="G1842" s="21"/>
      <c r="H1842" s="21"/>
      <c r="I1842" s="21"/>
      <c r="J1842" s="21"/>
      <c r="K1842" s="21"/>
      <c r="L1842" s="21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  <c r="AB1842" s="7"/>
      <c r="AC1842" s="7"/>
      <c r="AD1842" s="7"/>
      <c r="AE1842" s="7"/>
    </row>
    <row r="1843">
      <c r="A1843" s="7"/>
      <c r="B1843" s="21"/>
      <c r="C1843" s="21"/>
      <c r="D1843" s="21"/>
      <c r="E1843" s="21"/>
      <c r="F1843" s="21"/>
      <c r="G1843" s="21"/>
      <c r="H1843" s="21"/>
      <c r="I1843" s="21"/>
      <c r="J1843" s="21"/>
      <c r="K1843" s="21"/>
      <c r="L1843" s="21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  <c r="AB1843" s="7"/>
      <c r="AC1843" s="7"/>
      <c r="AD1843" s="7"/>
      <c r="AE1843" s="7"/>
    </row>
    <row r="1844">
      <c r="A1844" s="7"/>
      <c r="B1844" s="21"/>
      <c r="C1844" s="21"/>
      <c r="D1844" s="21"/>
      <c r="E1844" s="21"/>
      <c r="F1844" s="21"/>
      <c r="G1844" s="21"/>
      <c r="H1844" s="21"/>
      <c r="I1844" s="21"/>
      <c r="J1844" s="21"/>
      <c r="K1844" s="21"/>
      <c r="L1844" s="21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  <c r="AA1844" s="7"/>
      <c r="AB1844" s="7"/>
      <c r="AC1844" s="7"/>
      <c r="AD1844" s="7"/>
      <c r="AE1844" s="7"/>
    </row>
    <row r="1845">
      <c r="A1845" s="7"/>
      <c r="B1845" s="21"/>
      <c r="C1845" s="21"/>
      <c r="D1845" s="21"/>
      <c r="E1845" s="21"/>
      <c r="F1845" s="21"/>
      <c r="G1845" s="21"/>
      <c r="H1845" s="21"/>
      <c r="I1845" s="21"/>
      <c r="J1845" s="21"/>
      <c r="K1845" s="21"/>
      <c r="L1845" s="21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7"/>
      <c r="Z1845" s="7"/>
      <c r="AA1845" s="7"/>
      <c r="AB1845" s="7"/>
      <c r="AC1845" s="7"/>
      <c r="AD1845" s="7"/>
      <c r="AE1845" s="7"/>
    </row>
    <row r="1846">
      <c r="A1846" s="7"/>
      <c r="B1846" s="21"/>
      <c r="C1846" s="21"/>
      <c r="D1846" s="21"/>
      <c r="E1846" s="21"/>
      <c r="F1846" s="21"/>
      <c r="G1846" s="21"/>
      <c r="H1846" s="21"/>
      <c r="I1846" s="21"/>
      <c r="J1846" s="21"/>
      <c r="K1846" s="21"/>
      <c r="L1846" s="21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7"/>
      <c r="Z1846" s="7"/>
      <c r="AA1846" s="7"/>
      <c r="AB1846" s="7"/>
      <c r="AC1846" s="7"/>
      <c r="AD1846" s="7"/>
      <c r="AE1846" s="7"/>
    </row>
    <row r="1847">
      <c r="A1847" s="7"/>
      <c r="B1847" s="21"/>
      <c r="C1847" s="21"/>
      <c r="D1847" s="21"/>
      <c r="E1847" s="21"/>
      <c r="F1847" s="21"/>
      <c r="G1847" s="21"/>
      <c r="H1847" s="21"/>
      <c r="I1847" s="21"/>
      <c r="J1847" s="21"/>
      <c r="K1847" s="21"/>
      <c r="L1847" s="21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  <c r="AB1847" s="7"/>
      <c r="AC1847" s="7"/>
      <c r="AD1847" s="7"/>
      <c r="AE1847" s="7"/>
    </row>
    <row r="1848">
      <c r="A1848" s="7"/>
      <c r="B1848" s="21"/>
      <c r="C1848" s="21"/>
      <c r="D1848" s="21"/>
      <c r="E1848" s="21"/>
      <c r="F1848" s="21"/>
      <c r="G1848" s="21"/>
      <c r="H1848" s="21"/>
      <c r="I1848" s="21"/>
      <c r="J1848" s="21"/>
      <c r="K1848" s="21"/>
      <c r="L1848" s="21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/>
      <c r="AA1848" s="7"/>
      <c r="AB1848" s="7"/>
      <c r="AC1848" s="7"/>
      <c r="AD1848" s="7"/>
      <c r="AE1848" s="7"/>
    </row>
    <row r="1849">
      <c r="A1849" s="7"/>
      <c r="B1849" s="21"/>
      <c r="C1849" s="21"/>
      <c r="D1849" s="21"/>
      <c r="E1849" s="21"/>
      <c r="F1849" s="21"/>
      <c r="G1849" s="21"/>
      <c r="H1849" s="21"/>
      <c r="I1849" s="21"/>
      <c r="J1849" s="21"/>
      <c r="K1849" s="21"/>
      <c r="L1849" s="21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/>
      <c r="AA1849" s="7"/>
      <c r="AB1849" s="7"/>
      <c r="AC1849" s="7"/>
      <c r="AD1849" s="7"/>
      <c r="AE1849" s="7"/>
    </row>
    <row r="1850">
      <c r="A1850" s="7"/>
      <c r="B1850" s="21"/>
      <c r="C1850" s="21"/>
      <c r="D1850" s="21"/>
      <c r="E1850" s="21"/>
      <c r="F1850" s="21"/>
      <c r="G1850" s="21"/>
      <c r="H1850" s="21"/>
      <c r="I1850" s="21"/>
      <c r="J1850" s="21"/>
      <c r="K1850" s="21"/>
      <c r="L1850" s="21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  <c r="AB1850" s="7"/>
      <c r="AC1850" s="7"/>
      <c r="AD1850" s="7"/>
      <c r="AE1850" s="7"/>
    </row>
    <row r="1851">
      <c r="A1851" s="7"/>
      <c r="B1851" s="21"/>
      <c r="C1851" s="21"/>
      <c r="D1851" s="21"/>
      <c r="E1851" s="21"/>
      <c r="F1851" s="21"/>
      <c r="G1851" s="21"/>
      <c r="H1851" s="21"/>
      <c r="I1851" s="21"/>
      <c r="J1851" s="21"/>
      <c r="K1851" s="21"/>
      <c r="L1851" s="21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7"/>
      <c r="Y1851" s="7"/>
      <c r="Z1851" s="7"/>
      <c r="AA1851" s="7"/>
      <c r="AB1851" s="7"/>
      <c r="AC1851" s="7"/>
      <c r="AD1851" s="7"/>
      <c r="AE1851" s="7"/>
    </row>
    <row r="1852">
      <c r="A1852" s="7"/>
      <c r="B1852" s="21"/>
      <c r="C1852" s="21"/>
      <c r="D1852" s="21"/>
      <c r="E1852" s="21"/>
      <c r="F1852" s="21"/>
      <c r="G1852" s="21"/>
      <c r="H1852" s="21"/>
      <c r="I1852" s="21"/>
      <c r="J1852" s="21"/>
      <c r="K1852" s="21"/>
      <c r="L1852" s="21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7"/>
      <c r="Z1852" s="7"/>
      <c r="AA1852" s="7"/>
      <c r="AB1852" s="7"/>
      <c r="AC1852" s="7"/>
      <c r="AD1852" s="7"/>
      <c r="AE1852" s="7"/>
    </row>
    <row r="1853">
      <c r="A1853" s="7"/>
      <c r="B1853" s="21"/>
      <c r="C1853" s="21"/>
      <c r="D1853" s="21"/>
      <c r="E1853" s="21"/>
      <c r="F1853" s="21"/>
      <c r="G1853" s="21"/>
      <c r="H1853" s="21"/>
      <c r="I1853" s="21"/>
      <c r="J1853" s="21"/>
      <c r="K1853" s="21"/>
      <c r="L1853" s="21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7"/>
      <c r="Z1853" s="7"/>
      <c r="AA1853" s="7"/>
      <c r="AB1853" s="7"/>
      <c r="AC1853" s="7"/>
      <c r="AD1853" s="7"/>
      <c r="AE1853" s="7"/>
    </row>
    <row r="1854">
      <c r="A1854" s="7"/>
      <c r="B1854" s="21"/>
      <c r="C1854" s="21"/>
      <c r="D1854" s="21"/>
      <c r="E1854" s="21"/>
      <c r="F1854" s="21"/>
      <c r="G1854" s="21"/>
      <c r="H1854" s="21"/>
      <c r="I1854" s="21"/>
      <c r="J1854" s="21"/>
      <c r="K1854" s="21"/>
      <c r="L1854" s="21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  <c r="AA1854" s="7"/>
      <c r="AB1854" s="7"/>
      <c r="AC1854" s="7"/>
      <c r="AD1854" s="7"/>
      <c r="AE1854" s="7"/>
    </row>
    <row r="1855">
      <c r="A1855" s="7"/>
      <c r="B1855" s="21"/>
      <c r="C1855" s="21"/>
      <c r="D1855" s="21"/>
      <c r="E1855" s="21"/>
      <c r="F1855" s="21"/>
      <c r="G1855" s="21"/>
      <c r="H1855" s="21"/>
      <c r="I1855" s="21"/>
      <c r="J1855" s="21"/>
      <c r="K1855" s="21"/>
      <c r="L1855" s="21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7"/>
      <c r="Y1855" s="7"/>
      <c r="Z1855" s="7"/>
      <c r="AA1855" s="7"/>
      <c r="AB1855" s="7"/>
      <c r="AC1855" s="7"/>
      <c r="AD1855" s="7"/>
      <c r="AE1855" s="7"/>
    </row>
    <row r="1856">
      <c r="A1856" s="7"/>
      <c r="B1856" s="21"/>
      <c r="C1856" s="21"/>
      <c r="D1856" s="21"/>
      <c r="E1856" s="21"/>
      <c r="F1856" s="21"/>
      <c r="G1856" s="21"/>
      <c r="H1856" s="21"/>
      <c r="I1856" s="21"/>
      <c r="J1856" s="21"/>
      <c r="K1856" s="21"/>
      <c r="L1856" s="21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  <c r="AA1856" s="7"/>
      <c r="AB1856" s="7"/>
      <c r="AC1856" s="7"/>
      <c r="AD1856" s="7"/>
      <c r="AE1856" s="7"/>
    </row>
    <row r="1857">
      <c r="A1857" s="7"/>
      <c r="B1857" s="21"/>
      <c r="C1857" s="21"/>
      <c r="D1857" s="21"/>
      <c r="E1857" s="21"/>
      <c r="F1857" s="21"/>
      <c r="G1857" s="21"/>
      <c r="H1857" s="21"/>
      <c r="I1857" s="21"/>
      <c r="J1857" s="21"/>
      <c r="K1857" s="21"/>
      <c r="L1857" s="21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  <c r="Z1857" s="7"/>
      <c r="AA1857" s="7"/>
      <c r="AB1857" s="7"/>
      <c r="AC1857" s="7"/>
      <c r="AD1857" s="7"/>
      <c r="AE1857" s="7"/>
    </row>
    <row r="1858">
      <c r="A1858" s="7"/>
      <c r="B1858" s="21"/>
      <c r="C1858" s="21"/>
      <c r="D1858" s="21"/>
      <c r="E1858" s="21"/>
      <c r="F1858" s="21"/>
      <c r="G1858" s="21"/>
      <c r="H1858" s="21"/>
      <c r="I1858" s="21"/>
      <c r="J1858" s="21"/>
      <c r="K1858" s="21"/>
      <c r="L1858" s="21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/>
      <c r="AA1858" s="7"/>
      <c r="AB1858" s="7"/>
      <c r="AC1858" s="7"/>
      <c r="AD1858" s="7"/>
      <c r="AE1858" s="7"/>
    </row>
    <row r="1859">
      <c r="A1859" s="7"/>
      <c r="B1859" s="21"/>
      <c r="C1859" s="21"/>
      <c r="D1859" s="21"/>
      <c r="E1859" s="21"/>
      <c r="F1859" s="21"/>
      <c r="G1859" s="21"/>
      <c r="H1859" s="21"/>
      <c r="I1859" s="21"/>
      <c r="J1859" s="21"/>
      <c r="K1859" s="21"/>
      <c r="L1859" s="21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7"/>
      <c r="Z1859" s="7"/>
      <c r="AA1859" s="7"/>
      <c r="AB1859" s="7"/>
      <c r="AC1859" s="7"/>
      <c r="AD1859" s="7"/>
      <c r="AE1859" s="7"/>
    </row>
    <row r="1860">
      <c r="A1860" s="7"/>
      <c r="B1860" s="21"/>
      <c r="C1860" s="21"/>
      <c r="D1860" s="21"/>
      <c r="E1860" s="21"/>
      <c r="F1860" s="21"/>
      <c r="G1860" s="21"/>
      <c r="H1860" s="21"/>
      <c r="I1860" s="21"/>
      <c r="J1860" s="21"/>
      <c r="K1860" s="21"/>
      <c r="L1860" s="21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  <c r="AA1860" s="7"/>
      <c r="AB1860" s="7"/>
      <c r="AC1860" s="7"/>
      <c r="AD1860" s="7"/>
      <c r="AE1860" s="7"/>
    </row>
    <row r="1861">
      <c r="A1861" s="7"/>
      <c r="B1861" s="21"/>
      <c r="C1861" s="21"/>
      <c r="D1861" s="21"/>
      <c r="E1861" s="21"/>
      <c r="F1861" s="21"/>
      <c r="G1861" s="21"/>
      <c r="H1861" s="21"/>
      <c r="I1861" s="21"/>
      <c r="J1861" s="21"/>
      <c r="K1861" s="21"/>
      <c r="L1861" s="21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7"/>
      <c r="Z1861" s="7"/>
      <c r="AA1861" s="7"/>
      <c r="AB1861" s="7"/>
      <c r="AC1861" s="7"/>
      <c r="AD1861" s="7"/>
      <c r="AE1861" s="7"/>
    </row>
    <row r="1862">
      <c r="A1862" s="7"/>
      <c r="B1862" s="21"/>
      <c r="C1862" s="21"/>
      <c r="D1862" s="21"/>
      <c r="E1862" s="21"/>
      <c r="F1862" s="21"/>
      <c r="G1862" s="21"/>
      <c r="H1862" s="21"/>
      <c r="I1862" s="21"/>
      <c r="J1862" s="21"/>
      <c r="K1862" s="21"/>
      <c r="L1862" s="21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  <c r="AA1862" s="7"/>
      <c r="AB1862" s="7"/>
      <c r="AC1862" s="7"/>
      <c r="AD1862" s="7"/>
      <c r="AE1862" s="7"/>
    </row>
    <row r="1863">
      <c r="A1863" s="7"/>
      <c r="B1863" s="21"/>
      <c r="C1863" s="21"/>
      <c r="D1863" s="21"/>
      <c r="E1863" s="21"/>
      <c r="F1863" s="21"/>
      <c r="G1863" s="21"/>
      <c r="H1863" s="21"/>
      <c r="I1863" s="21"/>
      <c r="J1863" s="21"/>
      <c r="K1863" s="21"/>
      <c r="L1863" s="21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  <c r="Z1863" s="7"/>
      <c r="AA1863" s="7"/>
      <c r="AB1863" s="7"/>
      <c r="AC1863" s="7"/>
      <c r="AD1863" s="7"/>
      <c r="AE1863" s="7"/>
    </row>
    <row r="1864">
      <c r="A1864" s="7"/>
      <c r="B1864" s="21"/>
      <c r="C1864" s="21"/>
      <c r="D1864" s="21"/>
      <c r="E1864" s="21"/>
      <c r="F1864" s="21"/>
      <c r="G1864" s="21"/>
      <c r="H1864" s="21"/>
      <c r="I1864" s="21"/>
      <c r="J1864" s="21"/>
      <c r="K1864" s="21"/>
      <c r="L1864" s="21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7"/>
      <c r="Z1864" s="7"/>
      <c r="AA1864" s="7"/>
      <c r="AB1864" s="7"/>
      <c r="AC1864" s="7"/>
      <c r="AD1864" s="7"/>
      <c r="AE1864" s="7"/>
    </row>
    <row r="1865">
      <c r="A1865" s="7"/>
      <c r="B1865" s="21"/>
      <c r="C1865" s="21"/>
      <c r="D1865" s="21"/>
      <c r="E1865" s="21"/>
      <c r="F1865" s="21"/>
      <c r="G1865" s="21"/>
      <c r="H1865" s="21"/>
      <c r="I1865" s="21"/>
      <c r="J1865" s="21"/>
      <c r="K1865" s="21"/>
      <c r="L1865" s="21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7"/>
      <c r="Z1865" s="7"/>
      <c r="AA1865" s="7"/>
      <c r="AB1865" s="7"/>
      <c r="AC1865" s="7"/>
      <c r="AD1865" s="7"/>
      <c r="AE1865" s="7"/>
    </row>
    <row r="1866">
      <c r="A1866" s="7"/>
      <c r="B1866" s="21"/>
      <c r="C1866" s="21"/>
      <c r="D1866" s="21"/>
      <c r="E1866" s="21"/>
      <c r="F1866" s="21"/>
      <c r="G1866" s="21"/>
      <c r="H1866" s="21"/>
      <c r="I1866" s="21"/>
      <c r="J1866" s="21"/>
      <c r="K1866" s="21"/>
      <c r="L1866" s="21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/>
      <c r="AA1866" s="7"/>
      <c r="AB1866" s="7"/>
      <c r="AC1866" s="7"/>
      <c r="AD1866" s="7"/>
      <c r="AE1866" s="7"/>
    </row>
    <row r="1867">
      <c r="A1867" s="7"/>
      <c r="B1867" s="21"/>
      <c r="C1867" s="21"/>
      <c r="D1867" s="21"/>
      <c r="E1867" s="21"/>
      <c r="F1867" s="21"/>
      <c r="G1867" s="21"/>
      <c r="H1867" s="21"/>
      <c r="I1867" s="21"/>
      <c r="J1867" s="21"/>
      <c r="K1867" s="21"/>
      <c r="L1867" s="21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  <c r="AA1867" s="7"/>
      <c r="AB1867" s="7"/>
      <c r="AC1867" s="7"/>
      <c r="AD1867" s="7"/>
      <c r="AE1867" s="7"/>
    </row>
    <row r="1868">
      <c r="A1868" s="7"/>
      <c r="B1868" s="21"/>
      <c r="C1868" s="21"/>
      <c r="D1868" s="21"/>
      <c r="E1868" s="21"/>
      <c r="F1868" s="21"/>
      <c r="G1868" s="21"/>
      <c r="H1868" s="21"/>
      <c r="I1868" s="21"/>
      <c r="J1868" s="21"/>
      <c r="K1868" s="21"/>
      <c r="L1868" s="21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  <c r="AA1868" s="7"/>
      <c r="AB1868" s="7"/>
      <c r="AC1868" s="7"/>
      <c r="AD1868" s="7"/>
      <c r="AE1868" s="7"/>
    </row>
    <row r="1869">
      <c r="A1869" s="7"/>
      <c r="B1869" s="21"/>
      <c r="C1869" s="21"/>
      <c r="D1869" s="21"/>
      <c r="E1869" s="21"/>
      <c r="F1869" s="21"/>
      <c r="G1869" s="21"/>
      <c r="H1869" s="21"/>
      <c r="I1869" s="21"/>
      <c r="J1869" s="21"/>
      <c r="K1869" s="21"/>
      <c r="L1869" s="21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7"/>
      <c r="Z1869" s="7"/>
      <c r="AA1869" s="7"/>
      <c r="AB1869" s="7"/>
      <c r="AC1869" s="7"/>
      <c r="AD1869" s="7"/>
      <c r="AE1869" s="7"/>
    </row>
    <row r="1870">
      <c r="A1870" s="7"/>
      <c r="B1870" s="21"/>
      <c r="C1870" s="21"/>
      <c r="D1870" s="21"/>
      <c r="E1870" s="21"/>
      <c r="F1870" s="21"/>
      <c r="G1870" s="21"/>
      <c r="H1870" s="21"/>
      <c r="I1870" s="21"/>
      <c r="J1870" s="21"/>
      <c r="K1870" s="21"/>
      <c r="L1870" s="21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  <c r="Z1870" s="7"/>
      <c r="AA1870" s="7"/>
      <c r="AB1870" s="7"/>
      <c r="AC1870" s="7"/>
      <c r="AD1870" s="7"/>
      <c r="AE1870" s="7"/>
    </row>
    <row r="1871">
      <c r="A1871" s="7"/>
      <c r="B1871" s="21"/>
      <c r="C1871" s="21"/>
      <c r="D1871" s="21"/>
      <c r="E1871" s="21"/>
      <c r="F1871" s="21"/>
      <c r="G1871" s="21"/>
      <c r="H1871" s="21"/>
      <c r="I1871" s="21"/>
      <c r="J1871" s="21"/>
      <c r="K1871" s="21"/>
      <c r="L1871" s="21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  <c r="AA1871" s="7"/>
      <c r="AB1871" s="7"/>
      <c r="AC1871" s="7"/>
      <c r="AD1871" s="7"/>
      <c r="AE1871" s="7"/>
    </row>
    <row r="1872">
      <c r="A1872" s="7"/>
      <c r="B1872" s="21"/>
      <c r="C1872" s="21"/>
      <c r="D1872" s="21"/>
      <c r="E1872" s="21"/>
      <c r="F1872" s="21"/>
      <c r="G1872" s="21"/>
      <c r="H1872" s="21"/>
      <c r="I1872" s="21"/>
      <c r="J1872" s="21"/>
      <c r="K1872" s="21"/>
      <c r="L1872" s="21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  <c r="AA1872" s="7"/>
      <c r="AB1872" s="7"/>
      <c r="AC1872" s="7"/>
      <c r="AD1872" s="7"/>
      <c r="AE1872" s="7"/>
    </row>
    <row r="1873">
      <c r="A1873" s="7"/>
      <c r="B1873" s="21"/>
      <c r="C1873" s="21"/>
      <c r="D1873" s="21"/>
      <c r="E1873" s="21"/>
      <c r="F1873" s="21"/>
      <c r="G1873" s="21"/>
      <c r="H1873" s="21"/>
      <c r="I1873" s="21"/>
      <c r="J1873" s="21"/>
      <c r="K1873" s="21"/>
      <c r="L1873" s="21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  <c r="AA1873" s="7"/>
      <c r="AB1873" s="7"/>
      <c r="AC1873" s="7"/>
      <c r="AD1873" s="7"/>
      <c r="AE1873" s="7"/>
    </row>
    <row r="1874">
      <c r="A1874" s="7"/>
      <c r="B1874" s="21"/>
      <c r="C1874" s="21"/>
      <c r="D1874" s="21"/>
      <c r="E1874" s="21"/>
      <c r="F1874" s="21"/>
      <c r="G1874" s="21"/>
      <c r="H1874" s="21"/>
      <c r="I1874" s="21"/>
      <c r="J1874" s="21"/>
      <c r="K1874" s="21"/>
      <c r="L1874" s="21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  <c r="AA1874" s="7"/>
      <c r="AB1874" s="7"/>
      <c r="AC1874" s="7"/>
      <c r="AD1874" s="7"/>
      <c r="AE1874" s="7"/>
    </row>
    <row r="1875">
      <c r="A1875" s="7"/>
      <c r="B1875" s="21"/>
      <c r="C1875" s="21"/>
      <c r="D1875" s="21"/>
      <c r="E1875" s="21"/>
      <c r="F1875" s="21"/>
      <c r="G1875" s="21"/>
      <c r="H1875" s="21"/>
      <c r="I1875" s="21"/>
      <c r="J1875" s="21"/>
      <c r="K1875" s="21"/>
      <c r="L1875" s="21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  <c r="Z1875" s="7"/>
      <c r="AA1875" s="7"/>
      <c r="AB1875" s="7"/>
      <c r="AC1875" s="7"/>
      <c r="AD1875" s="7"/>
      <c r="AE1875" s="7"/>
    </row>
    <row r="1876">
      <c r="A1876" s="7"/>
      <c r="B1876" s="21"/>
      <c r="C1876" s="21"/>
      <c r="D1876" s="21"/>
      <c r="E1876" s="21"/>
      <c r="F1876" s="21"/>
      <c r="G1876" s="21"/>
      <c r="H1876" s="21"/>
      <c r="I1876" s="21"/>
      <c r="J1876" s="21"/>
      <c r="K1876" s="21"/>
      <c r="L1876" s="21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  <c r="Z1876" s="7"/>
      <c r="AA1876" s="7"/>
      <c r="AB1876" s="7"/>
      <c r="AC1876" s="7"/>
      <c r="AD1876" s="7"/>
      <c r="AE1876" s="7"/>
    </row>
    <row r="1877">
      <c r="A1877" s="7"/>
      <c r="B1877" s="21"/>
      <c r="C1877" s="21"/>
      <c r="D1877" s="21"/>
      <c r="E1877" s="21"/>
      <c r="F1877" s="21"/>
      <c r="G1877" s="21"/>
      <c r="H1877" s="21"/>
      <c r="I1877" s="21"/>
      <c r="J1877" s="21"/>
      <c r="K1877" s="21"/>
      <c r="L1877" s="21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  <c r="AA1877" s="7"/>
      <c r="AB1877" s="7"/>
      <c r="AC1877" s="7"/>
      <c r="AD1877" s="7"/>
      <c r="AE1877" s="7"/>
    </row>
    <row r="1878">
      <c r="A1878" s="7"/>
      <c r="B1878" s="21"/>
      <c r="C1878" s="21"/>
      <c r="D1878" s="21"/>
      <c r="E1878" s="21"/>
      <c r="F1878" s="21"/>
      <c r="G1878" s="21"/>
      <c r="H1878" s="21"/>
      <c r="I1878" s="21"/>
      <c r="J1878" s="21"/>
      <c r="K1878" s="21"/>
      <c r="L1878" s="21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  <c r="AA1878" s="7"/>
      <c r="AB1878" s="7"/>
      <c r="AC1878" s="7"/>
      <c r="AD1878" s="7"/>
      <c r="AE1878" s="7"/>
    </row>
    <row r="1879">
      <c r="A1879" s="7"/>
      <c r="B1879" s="21"/>
      <c r="C1879" s="21"/>
      <c r="D1879" s="21"/>
      <c r="E1879" s="21"/>
      <c r="F1879" s="21"/>
      <c r="G1879" s="21"/>
      <c r="H1879" s="21"/>
      <c r="I1879" s="21"/>
      <c r="J1879" s="21"/>
      <c r="K1879" s="21"/>
      <c r="L1879" s="21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  <c r="AB1879" s="7"/>
      <c r="AC1879" s="7"/>
      <c r="AD1879" s="7"/>
      <c r="AE1879" s="7"/>
    </row>
    <row r="1880">
      <c r="A1880" s="7"/>
      <c r="B1880" s="21"/>
      <c r="C1880" s="21"/>
      <c r="D1880" s="21"/>
      <c r="E1880" s="21"/>
      <c r="F1880" s="21"/>
      <c r="G1880" s="21"/>
      <c r="H1880" s="21"/>
      <c r="I1880" s="21"/>
      <c r="J1880" s="21"/>
      <c r="K1880" s="21"/>
      <c r="L1880" s="21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  <c r="AB1880" s="7"/>
      <c r="AC1880" s="7"/>
      <c r="AD1880" s="7"/>
      <c r="AE1880" s="7"/>
    </row>
    <row r="1881">
      <c r="A1881" s="7"/>
      <c r="B1881" s="21"/>
      <c r="C1881" s="21"/>
      <c r="D1881" s="21"/>
      <c r="E1881" s="21"/>
      <c r="F1881" s="21"/>
      <c r="G1881" s="21"/>
      <c r="H1881" s="21"/>
      <c r="I1881" s="21"/>
      <c r="J1881" s="21"/>
      <c r="K1881" s="21"/>
      <c r="L1881" s="21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  <c r="AB1881" s="7"/>
      <c r="AC1881" s="7"/>
      <c r="AD1881" s="7"/>
      <c r="AE1881" s="7"/>
    </row>
    <row r="1882">
      <c r="A1882" s="7"/>
      <c r="B1882" s="21"/>
      <c r="C1882" s="21"/>
      <c r="D1882" s="21"/>
      <c r="E1882" s="21"/>
      <c r="F1882" s="21"/>
      <c r="G1882" s="21"/>
      <c r="H1882" s="21"/>
      <c r="I1882" s="21"/>
      <c r="J1882" s="21"/>
      <c r="K1882" s="21"/>
      <c r="L1882" s="21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  <c r="AA1882" s="7"/>
      <c r="AB1882" s="7"/>
      <c r="AC1882" s="7"/>
      <c r="AD1882" s="7"/>
      <c r="AE1882" s="7"/>
    </row>
    <row r="1883">
      <c r="A1883" s="7"/>
      <c r="B1883" s="21"/>
      <c r="C1883" s="21"/>
      <c r="D1883" s="21"/>
      <c r="E1883" s="21"/>
      <c r="F1883" s="21"/>
      <c r="G1883" s="21"/>
      <c r="H1883" s="21"/>
      <c r="I1883" s="21"/>
      <c r="J1883" s="21"/>
      <c r="K1883" s="21"/>
      <c r="L1883" s="21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  <c r="AB1883" s="7"/>
      <c r="AC1883" s="7"/>
      <c r="AD1883" s="7"/>
      <c r="AE1883" s="7"/>
    </row>
    <row r="1884">
      <c r="A1884" s="7"/>
      <c r="B1884" s="21"/>
      <c r="C1884" s="21"/>
      <c r="D1884" s="21"/>
      <c r="E1884" s="21"/>
      <c r="F1884" s="21"/>
      <c r="G1884" s="21"/>
      <c r="H1884" s="21"/>
      <c r="I1884" s="21"/>
      <c r="J1884" s="21"/>
      <c r="K1884" s="21"/>
      <c r="L1884" s="21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  <c r="AB1884" s="7"/>
      <c r="AC1884" s="7"/>
      <c r="AD1884" s="7"/>
      <c r="AE1884" s="7"/>
    </row>
    <row r="1885">
      <c r="A1885" s="7"/>
      <c r="B1885" s="21"/>
      <c r="C1885" s="21"/>
      <c r="D1885" s="21"/>
      <c r="E1885" s="21"/>
      <c r="F1885" s="21"/>
      <c r="G1885" s="21"/>
      <c r="H1885" s="21"/>
      <c r="I1885" s="21"/>
      <c r="J1885" s="21"/>
      <c r="K1885" s="21"/>
      <c r="L1885" s="21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  <c r="AB1885" s="7"/>
      <c r="AC1885" s="7"/>
      <c r="AD1885" s="7"/>
      <c r="AE1885" s="7"/>
    </row>
    <row r="1886">
      <c r="A1886" s="7"/>
      <c r="B1886" s="21"/>
      <c r="C1886" s="21"/>
      <c r="D1886" s="21"/>
      <c r="E1886" s="21"/>
      <c r="F1886" s="21"/>
      <c r="G1886" s="21"/>
      <c r="H1886" s="21"/>
      <c r="I1886" s="21"/>
      <c r="J1886" s="21"/>
      <c r="K1886" s="21"/>
      <c r="L1886" s="21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  <c r="AB1886" s="7"/>
      <c r="AC1886" s="7"/>
      <c r="AD1886" s="7"/>
      <c r="AE1886" s="7"/>
    </row>
    <row r="1887">
      <c r="A1887" s="7"/>
      <c r="B1887" s="21"/>
      <c r="C1887" s="21"/>
      <c r="D1887" s="21"/>
      <c r="E1887" s="21"/>
      <c r="F1887" s="21"/>
      <c r="G1887" s="21"/>
      <c r="H1887" s="21"/>
      <c r="I1887" s="21"/>
      <c r="J1887" s="21"/>
      <c r="K1887" s="21"/>
      <c r="L1887" s="21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7"/>
      <c r="Z1887" s="7"/>
      <c r="AA1887" s="7"/>
      <c r="AB1887" s="7"/>
      <c r="AC1887" s="7"/>
      <c r="AD1887" s="7"/>
      <c r="AE1887" s="7"/>
    </row>
    <row r="1888">
      <c r="A1888" s="7"/>
      <c r="B1888" s="21"/>
      <c r="C1888" s="21"/>
      <c r="D1888" s="21"/>
      <c r="E1888" s="21"/>
      <c r="F1888" s="21"/>
      <c r="G1888" s="21"/>
      <c r="H1888" s="21"/>
      <c r="I1888" s="21"/>
      <c r="J1888" s="21"/>
      <c r="K1888" s="21"/>
      <c r="L1888" s="21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  <c r="Z1888" s="7"/>
      <c r="AA1888" s="7"/>
      <c r="AB1888" s="7"/>
      <c r="AC1888" s="7"/>
      <c r="AD1888" s="7"/>
      <c r="AE1888" s="7"/>
    </row>
    <row r="1889">
      <c r="A1889" s="7"/>
      <c r="B1889" s="21"/>
      <c r="C1889" s="21"/>
      <c r="D1889" s="21"/>
      <c r="E1889" s="21"/>
      <c r="F1889" s="21"/>
      <c r="G1889" s="21"/>
      <c r="H1889" s="21"/>
      <c r="I1889" s="21"/>
      <c r="J1889" s="21"/>
      <c r="K1889" s="21"/>
      <c r="L1889" s="21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7"/>
      <c r="Z1889" s="7"/>
      <c r="AA1889" s="7"/>
      <c r="AB1889" s="7"/>
      <c r="AC1889" s="7"/>
      <c r="AD1889" s="7"/>
      <c r="AE1889" s="7"/>
    </row>
    <row r="1890">
      <c r="A1890" s="7"/>
      <c r="B1890" s="21"/>
      <c r="C1890" s="21"/>
      <c r="D1890" s="21"/>
      <c r="E1890" s="21"/>
      <c r="F1890" s="21"/>
      <c r="G1890" s="21"/>
      <c r="H1890" s="21"/>
      <c r="I1890" s="21"/>
      <c r="J1890" s="21"/>
      <c r="K1890" s="21"/>
      <c r="L1890" s="21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  <c r="AB1890" s="7"/>
      <c r="AC1890" s="7"/>
      <c r="AD1890" s="7"/>
      <c r="AE1890" s="7"/>
    </row>
    <row r="1891">
      <c r="A1891" s="7"/>
      <c r="B1891" s="21"/>
      <c r="C1891" s="21"/>
      <c r="D1891" s="21"/>
      <c r="E1891" s="21"/>
      <c r="F1891" s="21"/>
      <c r="G1891" s="21"/>
      <c r="H1891" s="21"/>
      <c r="I1891" s="21"/>
      <c r="J1891" s="21"/>
      <c r="K1891" s="21"/>
      <c r="L1891" s="21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  <c r="AB1891" s="7"/>
      <c r="AC1891" s="7"/>
      <c r="AD1891" s="7"/>
      <c r="AE1891" s="7"/>
    </row>
    <row r="1892">
      <c r="A1892" s="7"/>
      <c r="B1892" s="21"/>
      <c r="C1892" s="21"/>
      <c r="D1892" s="21"/>
      <c r="E1892" s="21"/>
      <c r="F1892" s="21"/>
      <c r="G1892" s="21"/>
      <c r="H1892" s="21"/>
      <c r="I1892" s="21"/>
      <c r="J1892" s="21"/>
      <c r="K1892" s="21"/>
      <c r="L1892" s="21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  <c r="AB1892" s="7"/>
      <c r="AC1892" s="7"/>
      <c r="AD1892" s="7"/>
      <c r="AE1892" s="7"/>
    </row>
    <row r="1893">
      <c r="A1893" s="7"/>
      <c r="B1893" s="21"/>
      <c r="C1893" s="21"/>
      <c r="D1893" s="21"/>
      <c r="E1893" s="21"/>
      <c r="F1893" s="21"/>
      <c r="G1893" s="21"/>
      <c r="H1893" s="21"/>
      <c r="I1893" s="21"/>
      <c r="J1893" s="21"/>
      <c r="K1893" s="21"/>
      <c r="L1893" s="21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7"/>
      <c r="Z1893" s="7"/>
      <c r="AA1893" s="7"/>
      <c r="AB1893" s="7"/>
      <c r="AC1893" s="7"/>
      <c r="AD1893" s="7"/>
      <c r="AE1893" s="7"/>
    </row>
    <row r="1894">
      <c r="A1894" s="7"/>
      <c r="B1894" s="21"/>
      <c r="C1894" s="21"/>
      <c r="D1894" s="21"/>
      <c r="E1894" s="21"/>
      <c r="F1894" s="21"/>
      <c r="G1894" s="21"/>
      <c r="H1894" s="21"/>
      <c r="I1894" s="21"/>
      <c r="J1894" s="21"/>
      <c r="K1894" s="21"/>
      <c r="L1894" s="21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7"/>
      <c r="Z1894" s="7"/>
      <c r="AA1894" s="7"/>
      <c r="AB1894" s="7"/>
      <c r="AC1894" s="7"/>
      <c r="AD1894" s="7"/>
      <c r="AE1894" s="7"/>
    </row>
    <row r="1895">
      <c r="A1895" s="7"/>
      <c r="B1895" s="21"/>
      <c r="C1895" s="21"/>
      <c r="D1895" s="21"/>
      <c r="E1895" s="21"/>
      <c r="F1895" s="21"/>
      <c r="G1895" s="21"/>
      <c r="H1895" s="21"/>
      <c r="I1895" s="21"/>
      <c r="J1895" s="21"/>
      <c r="K1895" s="21"/>
      <c r="L1895" s="21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  <c r="AB1895" s="7"/>
      <c r="AC1895" s="7"/>
      <c r="AD1895" s="7"/>
      <c r="AE1895" s="7"/>
    </row>
    <row r="1896">
      <c r="A1896" s="7"/>
      <c r="B1896" s="21"/>
      <c r="C1896" s="21"/>
      <c r="D1896" s="21"/>
      <c r="E1896" s="21"/>
      <c r="F1896" s="21"/>
      <c r="G1896" s="21"/>
      <c r="H1896" s="21"/>
      <c r="I1896" s="21"/>
      <c r="J1896" s="21"/>
      <c r="K1896" s="21"/>
      <c r="L1896" s="21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  <c r="AB1896" s="7"/>
      <c r="AC1896" s="7"/>
      <c r="AD1896" s="7"/>
      <c r="AE1896" s="7"/>
    </row>
    <row r="1897">
      <c r="A1897" s="7"/>
      <c r="B1897" s="21"/>
      <c r="C1897" s="21"/>
      <c r="D1897" s="21"/>
      <c r="E1897" s="21"/>
      <c r="F1897" s="21"/>
      <c r="G1897" s="21"/>
      <c r="H1897" s="21"/>
      <c r="I1897" s="21"/>
      <c r="J1897" s="21"/>
      <c r="K1897" s="21"/>
      <c r="L1897" s="21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  <c r="X1897" s="7"/>
      <c r="Y1897" s="7"/>
      <c r="Z1897" s="7"/>
      <c r="AA1897" s="7"/>
      <c r="AB1897" s="7"/>
      <c r="AC1897" s="7"/>
      <c r="AD1897" s="7"/>
      <c r="AE1897" s="7"/>
    </row>
    <row r="1898">
      <c r="A1898" s="7"/>
      <c r="B1898" s="21"/>
      <c r="C1898" s="21"/>
      <c r="D1898" s="21"/>
      <c r="E1898" s="21"/>
      <c r="F1898" s="21"/>
      <c r="G1898" s="21"/>
      <c r="H1898" s="21"/>
      <c r="I1898" s="21"/>
      <c r="J1898" s="21"/>
      <c r="K1898" s="21"/>
      <c r="L1898" s="21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  <c r="AA1898" s="7"/>
      <c r="AB1898" s="7"/>
      <c r="AC1898" s="7"/>
      <c r="AD1898" s="7"/>
      <c r="AE1898" s="7"/>
    </row>
    <row r="1899">
      <c r="A1899" s="7"/>
      <c r="B1899" s="21"/>
      <c r="C1899" s="21"/>
      <c r="D1899" s="21"/>
      <c r="E1899" s="21"/>
      <c r="F1899" s="21"/>
      <c r="G1899" s="21"/>
      <c r="H1899" s="21"/>
      <c r="I1899" s="21"/>
      <c r="J1899" s="21"/>
      <c r="K1899" s="21"/>
      <c r="L1899" s="21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7"/>
      <c r="Z1899" s="7"/>
      <c r="AA1899" s="7"/>
      <c r="AB1899" s="7"/>
      <c r="AC1899" s="7"/>
      <c r="AD1899" s="7"/>
      <c r="AE1899" s="7"/>
    </row>
    <row r="1900">
      <c r="A1900" s="7"/>
      <c r="B1900" s="21"/>
      <c r="C1900" s="21"/>
      <c r="D1900" s="21"/>
      <c r="E1900" s="21"/>
      <c r="F1900" s="21"/>
      <c r="G1900" s="21"/>
      <c r="H1900" s="21"/>
      <c r="I1900" s="21"/>
      <c r="J1900" s="21"/>
      <c r="K1900" s="21"/>
      <c r="L1900" s="21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  <c r="AA1900" s="7"/>
      <c r="AB1900" s="7"/>
      <c r="AC1900" s="7"/>
      <c r="AD1900" s="7"/>
      <c r="AE1900" s="7"/>
    </row>
    <row r="1901">
      <c r="A1901" s="7"/>
      <c r="B1901" s="21"/>
      <c r="C1901" s="21"/>
      <c r="D1901" s="21"/>
      <c r="E1901" s="21"/>
      <c r="F1901" s="21"/>
      <c r="G1901" s="21"/>
      <c r="H1901" s="21"/>
      <c r="I1901" s="21"/>
      <c r="J1901" s="21"/>
      <c r="K1901" s="21"/>
      <c r="L1901" s="21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/>
      <c r="AA1901" s="7"/>
      <c r="AB1901" s="7"/>
      <c r="AC1901" s="7"/>
      <c r="AD1901" s="7"/>
      <c r="AE1901" s="7"/>
    </row>
    <row r="1902">
      <c r="A1902" s="7"/>
      <c r="B1902" s="21"/>
      <c r="C1902" s="21"/>
      <c r="D1902" s="21"/>
      <c r="E1902" s="21"/>
      <c r="F1902" s="21"/>
      <c r="G1902" s="21"/>
      <c r="H1902" s="21"/>
      <c r="I1902" s="21"/>
      <c r="J1902" s="21"/>
      <c r="K1902" s="21"/>
      <c r="L1902" s="21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  <c r="AA1902" s="7"/>
      <c r="AB1902" s="7"/>
      <c r="AC1902" s="7"/>
      <c r="AD1902" s="7"/>
      <c r="AE1902" s="7"/>
    </row>
    <row r="1903">
      <c r="A1903" s="7"/>
      <c r="B1903" s="21"/>
      <c r="C1903" s="21"/>
      <c r="D1903" s="21"/>
      <c r="E1903" s="21"/>
      <c r="F1903" s="21"/>
      <c r="G1903" s="21"/>
      <c r="H1903" s="21"/>
      <c r="I1903" s="21"/>
      <c r="J1903" s="21"/>
      <c r="K1903" s="21"/>
      <c r="L1903" s="21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7"/>
      <c r="Y1903" s="7"/>
      <c r="Z1903" s="7"/>
      <c r="AA1903" s="7"/>
      <c r="AB1903" s="7"/>
      <c r="AC1903" s="7"/>
      <c r="AD1903" s="7"/>
      <c r="AE1903" s="7"/>
    </row>
    <row r="1904">
      <c r="A1904" s="7"/>
      <c r="B1904" s="21"/>
      <c r="C1904" s="21"/>
      <c r="D1904" s="21"/>
      <c r="E1904" s="21"/>
      <c r="F1904" s="21"/>
      <c r="G1904" s="21"/>
      <c r="H1904" s="21"/>
      <c r="I1904" s="21"/>
      <c r="J1904" s="21"/>
      <c r="K1904" s="21"/>
      <c r="L1904" s="21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  <c r="AA1904" s="7"/>
      <c r="AB1904" s="7"/>
      <c r="AC1904" s="7"/>
      <c r="AD1904" s="7"/>
      <c r="AE1904" s="7"/>
    </row>
    <row r="1905">
      <c r="A1905" s="7"/>
      <c r="B1905" s="21"/>
      <c r="C1905" s="21"/>
      <c r="D1905" s="21"/>
      <c r="E1905" s="21"/>
      <c r="F1905" s="21"/>
      <c r="G1905" s="21"/>
      <c r="H1905" s="21"/>
      <c r="I1905" s="21"/>
      <c r="J1905" s="21"/>
      <c r="K1905" s="21"/>
      <c r="L1905" s="21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7"/>
      <c r="Y1905" s="7"/>
      <c r="Z1905" s="7"/>
      <c r="AA1905" s="7"/>
      <c r="AB1905" s="7"/>
      <c r="AC1905" s="7"/>
      <c r="AD1905" s="7"/>
      <c r="AE1905" s="7"/>
    </row>
    <row r="1906">
      <c r="A1906" s="7"/>
      <c r="B1906" s="21"/>
      <c r="C1906" s="21"/>
      <c r="D1906" s="21"/>
      <c r="E1906" s="21"/>
      <c r="F1906" s="21"/>
      <c r="G1906" s="21"/>
      <c r="H1906" s="21"/>
      <c r="I1906" s="21"/>
      <c r="J1906" s="21"/>
      <c r="K1906" s="21"/>
      <c r="L1906" s="21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7"/>
      <c r="Y1906" s="7"/>
      <c r="Z1906" s="7"/>
      <c r="AA1906" s="7"/>
      <c r="AB1906" s="7"/>
      <c r="AC1906" s="7"/>
      <c r="AD1906" s="7"/>
      <c r="AE1906" s="7"/>
    </row>
    <row r="1907">
      <c r="A1907" s="7"/>
      <c r="B1907" s="21"/>
      <c r="C1907" s="21"/>
      <c r="D1907" s="21"/>
      <c r="E1907" s="21"/>
      <c r="F1907" s="21"/>
      <c r="G1907" s="21"/>
      <c r="H1907" s="21"/>
      <c r="I1907" s="21"/>
      <c r="J1907" s="21"/>
      <c r="K1907" s="21"/>
      <c r="L1907" s="21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  <c r="X1907" s="7"/>
      <c r="Y1907" s="7"/>
      <c r="Z1907" s="7"/>
      <c r="AA1907" s="7"/>
      <c r="AB1907" s="7"/>
      <c r="AC1907" s="7"/>
      <c r="AD1907" s="7"/>
      <c r="AE1907" s="7"/>
    </row>
    <row r="1908">
      <c r="A1908" s="7"/>
      <c r="B1908" s="21"/>
      <c r="C1908" s="21"/>
      <c r="D1908" s="21"/>
      <c r="E1908" s="21"/>
      <c r="F1908" s="21"/>
      <c r="G1908" s="21"/>
      <c r="H1908" s="21"/>
      <c r="I1908" s="21"/>
      <c r="J1908" s="21"/>
      <c r="K1908" s="21"/>
      <c r="L1908" s="21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7"/>
      <c r="Y1908" s="7"/>
      <c r="Z1908" s="7"/>
      <c r="AA1908" s="7"/>
      <c r="AB1908" s="7"/>
      <c r="AC1908" s="7"/>
      <c r="AD1908" s="7"/>
      <c r="AE1908" s="7"/>
    </row>
    <row r="1909">
      <c r="A1909" s="7"/>
      <c r="B1909" s="21"/>
      <c r="C1909" s="21"/>
      <c r="D1909" s="21"/>
      <c r="E1909" s="21"/>
      <c r="F1909" s="21"/>
      <c r="G1909" s="21"/>
      <c r="H1909" s="21"/>
      <c r="I1909" s="21"/>
      <c r="J1909" s="21"/>
      <c r="K1909" s="21"/>
      <c r="L1909" s="21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  <c r="X1909" s="7"/>
      <c r="Y1909" s="7"/>
      <c r="Z1909" s="7"/>
      <c r="AA1909" s="7"/>
      <c r="AB1909" s="7"/>
      <c r="AC1909" s="7"/>
      <c r="AD1909" s="7"/>
      <c r="AE1909" s="7"/>
    </row>
    <row r="1910">
      <c r="A1910" s="7"/>
      <c r="B1910" s="21"/>
      <c r="C1910" s="21"/>
      <c r="D1910" s="21"/>
      <c r="E1910" s="21"/>
      <c r="F1910" s="21"/>
      <c r="G1910" s="21"/>
      <c r="H1910" s="21"/>
      <c r="I1910" s="21"/>
      <c r="J1910" s="21"/>
      <c r="K1910" s="21"/>
      <c r="L1910" s="21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/>
      <c r="AA1910" s="7"/>
      <c r="AB1910" s="7"/>
      <c r="AC1910" s="7"/>
      <c r="AD1910" s="7"/>
      <c r="AE1910" s="7"/>
    </row>
    <row r="1911">
      <c r="A1911" s="7"/>
      <c r="B1911" s="21"/>
      <c r="C1911" s="21"/>
      <c r="D1911" s="21"/>
      <c r="E1911" s="21"/>
      <c r="F1911" s="21"/>
      <c r="G1911" s="21"/>
      <c r="H1911" s="21"/>
      <c r="I1911" s="21"/>
      <c r="J1911" s="21"/>
      <c r="K1911" s="21"/>
      <c r="L1911" s="21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  <c r="X1911" s="7"/>
      <c r="Y1911" s="7"/>
      <c r="Z1911" s="7"/>
      <c r="AA1911" s="7"/>
      <c r="AB1911" s="7"/>
      <c r="AC1911" s="7"/>
      <c r="AD1911" s="7"/>
      <c r="AE1911" s="7"/>
    </row>
    <row r="1912">
      <c r="A1912" s="7"/>
      <c r="B1912" s="21"/>
      <c r="C1912" s="21"/>
      <c r="D1912" s="21"/>
      <c r="E1912" s="21"/>
      <c r="F1912" s="21"/>
      <c r="G1912" s="21"/>
      <c r="H1912" s="21"/>
      <c r="I1912" s="21"/>
      <c r="J1912" s="21"/>
      <c r="K1912" s="21"/>
      <c r="L1912" s="21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/>
      <c r="AA1912" s="7"/>
      <c r="AB1912" s="7"/>
      <c r="AC1912" s="7"/>
      <c r="AD1912" s="7"/>
      <c r="AE1912" s="7"/>
    </row>
    <row r="1913">
      <c r="A1913" s="7"/>
      <c r="B1913" s="21"/>
      <c r="C1913" s="21"/>
      <c r="D1913" s="21"/>
      <c r="E1913" s="21"/>
      <c r="F1913" s="21"/>
      <c r="G1913" s="21"/>
      <c r="H1913" s="21"/>
      <c r="I1913" s="21"/>
      <c r="J1913" s="21"/>
      <c r="K1913" s="21"/>
      <c r="L1913" s="21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  <c r="X1913" s="7"/>
      <c r="Y1913" s="7"/>
      <c r="Z1913" s="7"/>
      <c r="AA1913" s="7"/>
      <c r="AB1913" s="7"/>
      <c r="AC1913" s="7"/>
      <c r="AD1913" s="7"/>
      <c r="AE1913" s="7"/>
    </row>
    <row r="1914">
      <c r="A1914" s="7"/>
      <c r="B1914" s="21"/>
      <c r="C1914" s="21"/>
      <c r="D1914" s="21"/>
      <c r="E1914" s="21"/>
      <c r="F1914" s="21"/>
      <c r="G1914" s="21"/>
      <c r="H1914" s="21"/>
      <c r="I1914" s="21"/>
      <c r="J1914" s="21"/>
      <c r="K1914" s="21"/>
      <c r="L1914" s="21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  <c r="X1914" s="7"/>
      <c r="Y1914" s="7"/>
      <c r="Z1914" s="7"/>
      <c r="AA1914" s="7"/>
      <c r="AB1914" s="7"/>
      <c r="AC1914" s="7"/>
      <c r="AD1914" s="7"/>
      <c r="AE1914" s="7"/>
    </row>
    <row r="1915">
      <c r="A1915" s="7"/>
      <c r="B1915" s="21"/>
      <c r="C1915" s="21"/>
      <c r="D1915" s="21"/>
      <c r="E1915" s="21"/>
      <c r="F1915" s="21"/>
      <c r="G1915" s="21"/>
      <c r="H1915" s="21"/>
      <c r="I1915" s="21"/>
      <c r="J1915" s="21"/>
      <c r="K1915" s="21"/>
      <c r="L1915" s="21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  <c r="X1915" s="7"/>
      <c r="Y1915" s="7"/>
      <c r="Z1915" s="7"/>
      <c r="AA1915" s="7"/>
      <c r="AB1915" s="7"/>
      <c r="AC1915" s="7"/>
      <c r="AD1915" s="7"/>
      <c r="AE1915" s="7"/>
    </row>
    <row r="1916">
      <c r="A1916" s="7"/>
      <c r="B1916" s="21"/>
      <c r="C1916" s="21"/>
      <c r="D1916" s="21"/>
      <c r="E1916" s="21"/>
      <c r="F1916" s="21"/>
      <c r="G1916" s="21"/>
      <c r="H1916" s="21"/>
      <c r="I1916" s="21"/>
      <c r="J1916" s="21"/>
      <c r="K1916" s="21"/>
      <c r="L1916" s="21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  <c r="X1916" s="7"/>
      <c r="Y1916" s="7"/>
      <c r="Z1916" s="7"/>
      <c r="AA1916" s="7"/>
      <c r="AB1916" s="7"/>
      <c r="AC1916" s="7"/>
      <c r="AD1916" s="7"/>
      <c r="AE1916" s="7"/>
    </row>
    <row r="1917">
      <c r="A1917" s="7"/>
      <c r="B1917" s="21"/>
      <c r="C1917" s="21"/>
      <c r="D1917" s="21"/>
      <c r="E1917" s="21"/>
      <c r="F1917" s="21"/>
      <c r="G1917" s="21"/>
      <c r="H1917" s="21"/>
      <c r="I1917" s="21"/>
      <c r="J1917" s="21"/>
      <c r="K1917" s="21"/>
      <c r="L1917" s="21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  <c r="X1917" s="7"/>
      <c r="Y1917" s="7"/>
      <c r="Z1917" s="7"/>
      <c r="AA1917" s="7"/>
      <c r="AB1917" s="7"/>
      <c r="AC1917" s="7"/>
      <c r="AD1917" s="7"/>
      <c r="AE1917" s="7"/>
    </row>
    <row r="1918">
      <c r="A1918" s="7"/>
      <c r="B1918" s="21"/>
      <c r="C1918" s="21"/>
      <c r="D1918" s="21"/>
      <c r="E1918" s="21"/>
      <c r="F1918" s="21"/>
      <c r="G1918" s="21"/>
      <c r="H1918" s="21"/>
      <c r="I1918" s="21"/>
      <c r="J1918" s="21"/>
      <c r="K1918" s="21"/>
      <c r="L1918" s="21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  <c r="X1918" s="7"/>
      <c r="Y1918" s="7"/>
      <c r="Z1918" s="7"/>
      <c r="AA1918" s="7"/>
      <c r="AB1918" s="7"/>
      <c r="AC1918" s="7"/>
      <c r="AD1918" s="7"/>
      <c r="AE1918" s="7"/>
    </row>
    <row r="1919">
      <c r="A1919" s="7"/>
      <c r="B1919" s="21"/>
      <c r="C1919" s="21"/>
      <c r="D1919" s="21"/>
      <c r="E1919" s="21"/>
      <c r="F1919" s="21"/>
      <c r="G1919" s="21"/>
      <c r="H1919" s="21"/>
      <c r="I1919" s="21"/>
      <c r="J1919" s="21"/>
      <c r="K1919" s="21"/>
      <c r="L1919" s="21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  <c r="AA1919" s="7"/>
      <c r="AB1919" s="7"/>
      <c r="AC1919" s="7"/>
      <c r="AD1919" s="7"/>
      <c r="AE1919" s="7"/>
    </row>
    <row r="1920">
      <c r="A1920" s="7"/>
      <c r="B1920" s="21"/>
      <c r="C1920" s="21"/>
      <c r="D1920" s="21"/>
      <c r="E1920" s="21"/>
      <c r="F1920" s="21"/>
      <c r="G1920" s="21"/>
      <c r="H1920" s="21"/>
      <c r="I1920" s="21"/>
      <c r="J1920" s="21"/>
      <c r="K1920" s="21"/>
      <c r="L1920" s="21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  <c r="X1920" s="7"/>
      <c r="Y1920" s="7"/>
      <c r="Z1920" s="7"/>
      <c r="AA1920" s="7"/>
      <c r="AB1920" s="7"/>
      <c r="AC1920" s="7"/>
      <c r="AD1920" s="7"/>
      <c r="AE1920" s="7"/>
    </row>
    <row r="1921">
      <c r="A1921" s="7"/>
      <c r="B1921" s="21"/>
      <c r="C1921" s="21"/>
      <c r="D1921" s="21"/>
      <c r="E1921" s="21"/>
      <c r="F1921" s="21"/>
      <c r="G1921" s="21"/>
      <c r="H1921" s="21"/>
      <c r="I1921" s="21"/>
      <c r="J1921" s="21"/>
      <c r="K1921" s="21"/>
      <c r="L1921" s="21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  <c r="X1921" s="7"/>
      <c r="Y1921" s="7"/>
      <c r="Z1921" s="7"/>
      <c r="AA1921" s="7"/>
      <c r="AB1921" s="7"/>
      <c r="AC1921" s="7"/>
      <c r="AD1921" s="7"/>
      <c r="AE1921" s="7"/>
    </row>
    <row r="1922">
      <c r="A1922" s="7"/>
      <c r="B1922" s="21"/>
      <c r="C1922" s="21"/>
      <c r="D1922" s="21"/>
      <c r="E1922" s="21"/>
      <c r="F1922" s="21"/>
      <c r="G1922" s="21"/>
      <c r="H1922" s="21"/>
      <c r="I1922" s="21"/>
      <c r="J1922" s="21"/>
      <c r="K1922" s="21"/>
      <c r="L1922" s="21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  <c r="X1922" s="7"/>
      <c r="Y1922" s="7"/>
      <c r="Z1922" s="7"/>
      <c r="AA1922" s="7"/>
      <c r="AB1922" s="7"/>
      <c r="AC1922" s="7"/>
      <c r="AD1922" s="7"/>
      <c r="AE1922" s="7"/>
    </row>
    <row r="1923">
      <c r="A1923" s="7"/>
      <c r="B1923" s="21"/>
      <c r="C1923" s="21"/>
      <c r="D1923" s="21"/>
      <c r="E1923" s="21"/>
      <c r="F1923" s="21"/>
      <c r="G1923" s="21"/>
      <c r="H1923" s="21"/>
      <c r="I1923" s="21"/>
      <c r="J1923" s="21"/>
      <c r="K1923" s="21"/>
      <c r="L1923" s="21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  <c r="X1923" s="7"/>
      <c r="Y1923" s="7"/>
      <c r="Z1923" s="7"/>
      <c r="AA1923" s="7"/>
      <c r="AB1923" s="7"/>
      <c r="AC1923" s="7"/>
      <c r="AD1923" s="7"/>
      <c r="AE1923" s="7"/>
    </row>
    <row r="1924">
      <c r="A1924" s="7"/>
      <c r="B1924" s="21"/>
      <c r="C1924" s="21"/>
      <c r="D1924" s="21"/>
      <c r="E1924" s="21"/>
      <c r="F1924" s="21"/>
      <c r="G1924" s="21"/>
      <c r="H1924" s="21"/>
      <c r="I1924" s="21"/>
      <c r="J1924" s="21"/>
      <c r="K1924" s="21"/>
      <c r="L1924" s="21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  <c r="X1924" s="7"/>
      <c r="Y1924" s="7"/>
      <c r="Z1924" s="7"/>
      <c r="AA1924" s="7"/>
      <c r="AB1924" s="7"/>
      <c r="AC1924" s="7"/>
      <c r="AD1924" s="7"/>
      <c r="AE1924" s="7"/>
    </row>
    <row r="1925">
      <c r="A1925" s="7"/>
      <c r="B1925" s="21"/>
      <c r="C1925" s="21"/>
      <c r="D1925" s="21"/>
      <c r="E1925" s="21"/>
      <c r="F1925" s="21"/>
      <c r="G1925" s="21"/>
      <c r="H1925" s="21"/>
      <c r="I1925" s="21"/>
      <c r="J1925" s="21"/>
      <c r="K1925" s="21"/>
      <c r="L1925" s="21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  <c r="X1925" s="7"/>
      <c r="Y1925" s="7"/>
      <c r="Z1925" s="7"/>
      <c r="AA1925" s="7"/>
      <c r="AB1925" s="7"/>
      <c r="AC1925" s="7"/>
      <c r="AD1925" s="7"/>
      <c r="AE1925" s="7"/>
    </row>
    <row r="1926">
      <c r="A1926" s="7"/>
      <c r="B1926" s="21"/>
      <c r="C1926" s="21"/>
      <c r="D1926" s="21"/>
      <c r="E1926" s="21"/>
      <c r="F1926" s="21"/>
      <c r="G1926" s="21"/>
      <c r="H1926" s="21"/>
      <c r="I1926" s="21"/>
      <c r="J1926" s="21"/>
      <c r="K1926" s="21"/>
      <c r="L1926" s="21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  <c r="X1926" s="7"/>
      <c r="Y1926" s="7"/>
      <c r="Z1926" s="7"/>
      <c r="AA1926" s="7"/>
      <c r="AB1926" s="7"/>
      <c r="AC1926" s="7"/>
      <c r="AD1926" s="7"/>
      <c r="AE1926" s="7"/>
    </row>
    <row r="1927">
      <c r="A1927" s="7"/>
      <c r="B1927" s="21"/>
      <c r="C1927" s="21"/>
      <c r="D1927" s="21"/>
      <c r="E1927" s="21"/>
      <c r="F1927" s="21"/>
      <c r="G1927" s="21"/>
      <c r="H1927" s="21"/>
      <c r="I1927" s="21"/>
      <c r="J1927" s="21"/>
      <c r="K1927" s="21"/>
      <c r="L1927" s="21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  <c r="X1927" s="7"/>
      <c r="Y1927" s="7"/>
      <c r="Z1927" s="7"/>
      <c r="AA1927" s="7"/>
      <c r="AB1927" s="7"/>
      <c r="AC1927" s="7"/>
      <c r="AD1927" s="7"/>
      <c r="AE1927" s="7"/>
    </row>
    <row r="1928">
      <c r="A1928" s="7"/>
      <c r="B1928" s="21"/>
      <c r="C1928" s="21"/>
      <c r="D1928" s="21"/>
      <c r="E1928" s="21"/>
      <c r="F1928" s="21"/>
      <c r="G1928" s="21"/>
      <c r="H1928" s="21"/>
      <c r="I1928" s="21"/>
      <c r="J1928" s="21"/>
      <c r="K1928" s="21"/>
      <c r="L1928" s="21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  <c r="AA1928" s="7"/>
      <c r="AB1928" s="7"/>
      <c r="AC1928" s="7"/>
      <c r="AD1928" s="7"/>
      <c r="AE1928" s="7"/>
    </row>
    <row r="1929">
      <c r="A1929" s="7"/>
      <c r="B1929" s="21"/>
      <c r="C1929" s="21"/>
      <c r="D1929" s="21"/>
      <c r="E1929" s="21"/>
      <c r="F1929" s="21"/>
      <c r="G1929" s="21"/>
      <c r="H1929" s="21"/>
      <c r="I1929" s="21"/>
      <c r="J1929" s="21"/>
      <c r="K1929" s="21"/>
      <c r="L1929" s="21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  <c r="X1929" s="7"/>
      <c r="Y1929" s="7"/>
      <c r="Z1929" s="7"/>
      <c r="AA1929" s="7"/>
      <c r="AB1929" s="7"/>
      <c r="AC1929" s="7"/>
      <c r="AD1929" s="7"/>
      <c r="AE1929" s="7"/>
    </row>
    <row r="1930">
      <c r="A1930" s="7"/>
      <c r="B1930" s="21"/>
      <c r="C1930" s="21"/>
      <c r="D1930" s="21"/>
      <c r="E1930" s="21"/>
      <c r="F1930" s="21"/>
      <c r="G1930" s="21"/>
      <c r="H1930" s="21"/>
      <c r="I1930" s="21"/>
      <c r="J1930" s="21"/>
      <c r="K1930" s="21"/>
      <c r="L1930" s="21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  <c r="X1930" s="7"/>
      <c r="Y1930" s="7"/>
      <c r="Z1930" s="7"/>
      <c r="AA1930" s="7"/>
      <c r="AB1930" s="7"/>
      <c r="AC1930" s="7"/>
      <c r="AD1930" s="7"/>
      <c r="AE1930" s="7"/>
    </row>
    <row r="1931">
      <c r="A1931" s="7"/>
      <c r="B1931" s="21"/>
      <c r="C1931" s="21"/>
      <c r="D1931" s="21"/>
      <c r="E1931" s="21"/>
      <c r="F1931" s="21"/>
      <c r="G1931" s="21"/>
      <c r="H1931" s="21"/>
      <c r="I1931" s="21"/>
      <c r="J1931" s="21"/>
      <c r="K1931" s="21"/>
      <c r="L1931" s="21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  <c r="X1931" s="7"/>
      <c r="Y1931" s="7"/>
      <c r="Z1931" s="7"/>
      <c r="AA1931" s="7"/>
      <c r="AB1931" s="7"/>
      <c r="AC1931" s="7"/>
      <c r="AD1931" s="7"/>
      <c r="AE1931" s="7"/>
    </row>
    <row r="1932">
      <c r="A1932" s="7"/>
      <c r="B1932" s="21"/>
      <c r="C1932" s="21"/>
      <c r="D1932" s="21"/>
      <c r="E1932" s="21"/>
      <c r="F1932" s="21"/>
      <c r="G1932" s="21"/>
      <c r="H1932" s="21"/>
      <c r="I1932" s="21"/>
      <c r="J1932" s="21"/>
      <c r="K1932" s="21"/>
      <c r="L1932" s="21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  <c r="X1932" s="7"/>
      <c r="Y1932" s="7"/>
      <c r="Z1932" s="7"/>
      <c r="AA1932" s="7"/>
      <c r="AB1932" s="7"/>
      <c r="AC1932" s="7"/>
      <c r="AD1932" s="7"/>
      <c r="AE1932" s="7"/>
    </row>
    <row r="1933">
      <c r="A1933" s="7"/>
      <c r="B1933" s="21"/>
      <c r="C1933" s="21"/>
      <c r="D1933" s="21"/>
      <c r="E1933" s="21"/>
      <c r="F1933" s="21"/>
      <c r="G1933" s="21"/>
      <c r="H1933" s="21"/>
      <c r="I1933" s="21"/>
      <c r="J1933" s="21"/>
      <c r="K1933" s="21"/>
      <c r="L1933" s="21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  <c r="X1933" s="7"/>
      <c r="Y1933" s="7"/>
      <c r="Z1933" s="7"/>
      <c r="AA1933" s="7"/>
      <c r="AB1933" s="7"/>
      <c r="AC1933" s="7"/>
      <c r="AD1933" s="7"/>
      <c r="AE1933" s="7"/>
    </row>
    <row r="1934">
      <c r="A1934" s="7"/>
      <c r="B1934" s="21"/>
      <c r="C1934" s="21"/>
      <c r="D1934" s="21"/>
      <c r="E1934" s="21"/>
      <c r="F1934" s="21"/>
      <c r="G1934" s="21"/>
      <c r="H1934" s="21"/>
      <c r="I1934" s="21"/>
      <c r="J1934" s="21"/>
      <c r="K1934" s="21"/>
      <c r="L1934" s="21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  <c r="X1934" s="7"/>
      <c r="Y1934" s="7"/>
      <c r="Z1934" s="7"/>
      <c r="AA1934" s="7"/>
      <c r="AB1934" s="7"/>
      <c r="AC1934" s="7"/>
      <c r="AD1934" s="7"/>
      <c r="AE1934" s="7"/>
    </row>
    <row r="1935">
      <c r="A1935" s="7"/>
      <c r="B1935" s="21"/>
      <c r="C1935" s="21"/>
      <c r="D1935" s="21"/>
      <c r="E1935" s="21"/>
      <c r="F1935" s="21"/>
      <c r="G1935" s="21"/>
      <c r="H1935" s="21"/>
      <c r="I1935" s="21"/>
      <c r="J1935" s="21"/>
      <c r="K1935" s="21"/>
      <c r="L1935" s="21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  <c r="X1935" s="7"/>
      <c r="Y1935" s="7"/>
      <c r="Z1935" s="7"/>
      <c r="AA1935" s="7"/>
      <c r="AB1935" s="7"/>
      <c r="AC1935" s="7"/>
      <c r="AD1935" s="7"/>
      <c r="AE1935" s="7"/>
    </row>
    <row r="1936">
      <c r="A1936" s="7"/>
      <c r="B1936" s="21"/>
      <c r="C1936" s="21"/>
      <c r="D1936" s="21"/>
      <c r="E1936" s="21"/>
      <c r="F1936" s="21"/>
      <c r="G1936" s="21"/>
      <c r="H1936" s="21"/>
      <c r="I1936" s="21"/>
      <c r="J1936" s="21"/>
      <c r="K1936" s="21"/>
      <c r="L1936" s="21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7"/>
      <c r="Y1936" s="7"/>
      <c r="Z1936" s="7"/>
      <c r="AA1936" s="7"/>
      <c r="AB1936" s="7"/>
      <c r="AC1936" s="7"/>
      <c r="AD1936" s="7"/>
      <c r="AE1936" s="7"/>
    </row>
    <row r="1937">
      <c r="A1937" s="7"/>
      <c r="B1937" s="21"/>
      <c r="C1937" s="21"/>
      <c r="D1937" s="21"/>
      <c r="E1937" s="21"/>
      <c r="F1937" s="21"/>
      <c r="G1937" s="21"/>
      <c r="H1937" s="21"/>
      <c r="I1937" s="21"/>
      <c r="J1937" s="21"/>
      <c r="K1937" s="21"/>
      <c r="L1937" s="21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  <c r="AA1937" s="7"/>
      <c r="AB1937" s="7"/>
      <c r="AC1937" s="7"/>
      <c r="AD1937" s="7"/>
      <c r="AE1937" s="7"/>
    </row>
    <row r="1938">
      <c r="A1938" s="7"/>
      <c r="B1938" s="21"/>
      <c r="C1938" s="21"/>
      <c r="D1938" s="21"/>
      <c r="E1938" s="21"/>
      <c r="F1938" s="21"/>
      <c r="G1938" s="21"/>
      <c r="H1938" s="21"/>
      <c r="I1938" s="21"/>
      <c r="J1938" s="21"/>
      <c r="K1938" s="21"/>
      <c r="L1938" s="21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  <c r="X1938" s="7"/>
      <c r="Y1938" s="7"/>
      <c r="Z1938" s="7"/>
      <c r="AA1938" s="7"/>
      <c r="AB1938" s="7"/>
      <c r="AC1938" s="7"/>
      <c r="AD1938" s="7"/>
      <c r="AE1938" s="7"/>
    </row>
    <row r="1939">
      <c r="A1939" s="7"/>
      <c r="B1939" s="21"/>
      <c r="C1939" s="21"/>
      <c r="D1939" s="21"/>
      <c r="E1939" s="21"/>
      <c r="F1939" s="21"/>
      <c r="G1939" s="21"/>
      <c r="H1939" s="21"/>
      <c r="I1939" s="21"/>
      <c r="J1939" s="21"/>
      <c r="K1939" s="21"/>
      <c r="L1939" s="21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  <c r="X1939" s="7"/>
      <c r="Y1939" s="7"/>
      <c r="Z1939" s="7"/>
      <c r="AA1939" s="7"/>
      <c r="AB1939" s="7"/>
      <c r="AC1939" s="7"/>
      <c r="AD1939" s="7"/>
      <c r="AE1939" s="7"/>
    </row>
    <row r="1940">
      <c r="A1940" s="7"/>
      <c r="B1940" s="21"/>
      <c r="C1940" s="21"/>
      <c r="D1940" s="21"/>
      <c r="E1940" s="21"/>
      <c r="F1940" s="21"/>
      <c r="G1940" s="21"/>
      <c r="H1940" s="21"/>
      <c r="I1940" s="21"/>
      <c r="J1940" s="21"/>
      <c r="K1940" s="21"/>
      <c r="L1940" s="21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/>
      <c r="AA1940" s="7"/>
      <c r="AB1940" s="7"/>
      <c r="AC1940" s="7"/>
      <c r="AD1940" s="7"/>
      <c r="AE1940" s="7"/>
    </row>
    <row r="1941">
      <c r="A1941" s="7"/>
      <c r="B1941" s="21"/>
      <c r="C1941" s="21"/>
      <c r="D1941" s="21"/>
      <c r="E1941" s="21"/>
      <c r="F1941" s="21"/>
      <c r="G1941" s="21"/>
      <c r="H1941" s="21"/>
      <c r="I1941" s="21"/>
      <c r="J1941" s="21"/>
      <c r="K1941" s="21"/>
      <c r="L1941" s="21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  <c r="X1941" s="7"/>
      <c r="Y1941" s="7"/>
      <c r="Z1941" s="7"/>
      <c r="AA1941" s="7"/>
      <c r="AB1941" s="7"/>
      <c r="AC1941" s="7"/>
      <c r="AD1941" s="7"/>
      <c r="AE1941" s="7"/>
    </row>
    <row r="1942">
      <c r="A1942" s="7"/>
      <c r="B1942" s="21"/>
      <c r="C1942" s="21"/>
      <c r="D1942" s="21"/>
      <c r="E1942" s="21"/>
      <c r="F1942" s="21"/>
      <c r="G1942" s="21"/>
      <c r="H1942" s="21"/>
      <c r="I1942" s="21"/>
      <c r="J1942" s="21"/>
      <c r="K1942" s="21"/>
      <c r="L1942" s="21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7"/>
      <c r="Z1942" s="7"/>
      <c r="AA1942" s="7"/>
      <c r="AB1942" s="7"/>
      <c r="AC1942" s="7"/>
      <c r="AD1942" s="7"/>
      <c r="AE1942" s="7"/>
    </row>
    <row r="1943">
      <c r="A1943" s="7"/>
      <c r="B1943" s="21"/>
      <c r="C1943" s="21"/>
      <c r="D1943" s="21"/>
      <c r="E1943" s="21"/>
      <c r="F1943" s="21"/>
      <c r="G1943" s="21"/>
      <c r="H1943" s="21"/>
      <c r="I1943" s="21"/>
      <c r="J1943" s="21"/>
      <c r="K1943" s="21"/>
      <c r="L1943" s="21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  <c r="X1943" s="7"/>
      <c r="Y1943" s="7"/>
      <c r="Z1943" s="7"/>
      <c r="AA1943" s="7"/>
      <c r="AB1943" s="7"/>
      <c r="AC1943" s="7"/>
      <c r="AD1943" s="7"/>
      <c r="AE1943" s="7"/>
    </row>
    <row r="1944">
      <c r="A1944" s="7"/>
      <c r="B1944" s="21"/>
      <c r="C1944" s="21"/>
      <c r="D1944" s="21"/>
      <c r="E1944" s="21"/>
      <c r="F1944" s="21"/>
      <c r="G1944" s="21"/>
      <c r="H1944" s="21"/>
      <c r="I1944" s="21"/>
      <c r="J1944" s="21"/>
      <c r="K1944" s="21"/>
      <c r="L1944" s="21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  <c r="X1944" s="7"/>
      <c r="Y1944" s="7"/>
      <c r="Z1944" s="7"/>
      <c r="AA1944" s="7"/>
      <c r="AB1944" s="7"/>
      <c r="AC1944" s="7"/>
      <c r="AD1944" s="7"/>
      <c r="AE1944" s="7"/>
    </row>
    <row r="1945">
      <c r="A1945" s="7"/>
      <c r="B1945" s="21"/>
      <c r="C1945" s="21"/>
      <c r="D1945" s="21"/>
      <c r="E1945" s="21"/>
      <c r="F1945" s="21"/>
      <c r="G1945" s="21"/>
      <c r="H1945" s="21"/>
      <c r="I1945" s="21"/>
      <c r="J1945" s="21"/>
      <c r="K1945" s="21"/>
      <c r="L1945" s="21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  <c r="X1945" s="7"/>
      <c r="Y1945" s="7"/>
      <c r="Z1945" s="7"/>
      <c r="AA1945" s="7"/>
      <c r="AB1945" s="7"/>
      <c r="AC1945" s="7"/>
      <c r="AD1945" s="7"/>
      <c r="AE1945" s="7"/>
    </row>
    <row r="1946">
      <c r="A1946" s="7"/>
      <c r="B1946" s="21"/>
      <c r="C1946" s="21"/>
      <c r="D1946" s="21"/>
      <c r="E1946" s="21"/>
      <c r="F1946" s="21"/>
      <c r="G1946" s="21"/>
      <c r="H1946" s="21"/>
      <c r="I1946" s="21"/>
      <c r="J1946" s="21"/>
      <c r="K1946" s="21"/>
      <c r="L1946" s="21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  <c r="X1946" s="7"/>
      <c r="Y1946" s="7"/>
      <c r="Z1946" s="7"/>
      <c r="AA1946" s="7"/>
      <c r="AB1946" s="7"/>
      <c r="AC1946" s="7"/>
      <c r="AD1946" s="7"/>
      <c r="AE1946" s="7"/>
    </row>
    <row r="1947">
      <c r="A1947" s="7"/>
      <c r="B1947" s="21"/>
      <c r="C1947" s="21"/>
      <c r="D1947" s="21"/>
      <c r="E1947" s="21"/>
      <c r="F1947" s="21"/>
      <c r="G1947" s="21"/>
      <c r="H1947" s="21"/>
      <c r="I1947" s="21"/>
      <c r="J1947" s="21"/>
      <c r="K1947" s="21"/>
      <c r="L1947" s="21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  <c r="X1947" s="7"/>
      <c r="Y1947" s="7"/>
      <c r="Z1947" s="7"/>
      <c r="AA1947" s="7"/>
      <c r="AB1947" s="7"/>
      <c r="AC1947" s="7"/>
      <c r="AD1947" s="7"/>
      <c r="AE1947" s="7"/>
    </row>
    <row r="1948">
      <c r="A1948" s="7"/>
      <c r="B1948" s="21"/>
      <c r="C1948" s="21"/>
      <c r="D1948" s="21"/>
      <c r="E1948" s="21"/>
      <c r="F1948" s="21"/>
      <c r="G1948" s="21"/>
      <c r="H1948" s="21"/>
      <c r="I1948" s="21"/>
      <c r="J1948" s="21"/>
      <c r="K1948" s="21"/>
      <c r="L1948" s="21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  <c r="X1948" s="7"/>
      <c r="Y1948" s="7"/>
      <c r="Z1948" s="7"/>
      <c r="AA1948" s="7"/>
      <c r="AB1948" s="7"/>
      <c r="AC1948" s="7"/>
      <c r="AD1948" s="7"/>
      <c r="AE1948" s="7"/>
    </row>
    <row r="1949">
      <c r="A1949" s="7"/>
      <c r="B1949" s="21"/>
      <c r="C1949" s="21"/>
      <c r="D1949" s="21"/>
      <c r="E1949" s="21"/>
      <c r="F1949" s="21"/>
      <c r="G1949" s="21"/>
      <c r="H1949" s="21"/>
      <c r="I1949" s="21"/>
      <c r="J1949" s="21"/>
      <c r="K1949" s="21"/>
      <c r="L1949" s="21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7"/>
      <c r="X1949" s="7"/>
      <c r="Y1949" s="7"/>
      <c r="Z1949" s="7"/>
      <c r="AA1949" s="7"/>
      <c r="AB1949" s="7"/>
      <c r="AC1949" s="7"/>
      <c r="AD1949" s="7"/>
      <c r="AE1949" s="7"/>
    </row>
    <row r="1950">
      <c r="A1950" s="7"/>
      <c r="B1950" s="21"/>
      <c r="C1950" s="21"/>
      <c r="D1950" s="21"/>
      <c r="E1950" s="21"/>
      <c r="F1950" s="21"/>
      <c r="G1950" s="21"/>
      <c r="H1950" s="21"/>
      <c r="I1950" s="21"/>
      <c r="J1950" s="21"/>
      <c r="K1950" s="21"/>
      <c r="L1950" s="21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  <c r="X1950" s="7"/>
      <c r="Y1950" s="7"/>
      <c r="Z1950" s="7"/>
      <c r="AA1950" s="7"/>
      <c r="AB1950" s="7"/>
      <c r="AC1950" s="7"/>
      <c r="AD1950" s="7"/>
      <c r="AE1950" s="7"/>
    </row>
    <row r="1951">
      <c r="A1951" s="7"/>
      <c r="B1951" s="21"/>
      <c r="C1951" s="21"/>
      <c r="D1951" s="21"/>
      <c r="E1951" s="21"/>
      <c r="F1951" s="21"/>
      <c r="G1951" s="21"/>
      <c r="H1951" s="21"/>
      <c r="I1951" s="21"/>
      <c r="J1951" s="21"/>
      <c r="K1951" s="21"/>
      <c r="L1951" s="21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7"/>
      <c r="X1951" s="7"/>
      <c r="Y1951" s="7"/>
      <c r="Z1951" s="7"/>
      <c r="AA1951" s="7"/>
      <c r="AB1951" s="7"/>
      <c r="AC1951" s="7"/>
      <c r="AD1951" s="7"/>
      <c r="AE1951" s="7"/>
    </row>
    <row r="1952">
      <c r="A1952" s="7"/>
      <c r="B1952" s="21"/>
      <c r="C1952" s="21"/>
      <c r="D1952" s="21"/>
      <c r="E1952" s="21"/>
      <c r="F1952" s="21"/>
      <c r="G1952" s="21"/>
      <c r="H1952" s="21"/>
      <c r="I1952" s="21"/>
      <c r="J1952" s="21"/>
      <c r="K1952" s="21"/>
      <c r="L1952" s="21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  <c r="X1952" s="7"/>
      <c r="Y1952" s="7"/>
      <c r="Z1952" s="7"/>
      <c r="AA1952" s="7"/>
      <c r="AB1952" s="7"/>
      <c r="AC1952" s="7"/>
      <c r="AD1952" s="7"/>
      <c r="AE1952" s="7"/>
    </row>
    <row r="1953">
      <c r="A1953" s="7"/>
      <c r="B1953" s="21"/>
      <c r="C1953" s="21"/>
      <c r="D1953" s="21"/>
      <c r="E1953" s="21"/>
      <c r="F1953" s="21"/>
      <c r="G1953" s="21"/>
      <c r="H1953" s="21"/>
      <c r="I1953" s="21"/>
      <c r="J1953" s="21"/>
      <c r="K1953" s="21"/>
      <c r="L1953" s="21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  <c r="X1953" s="7"/>
      <c r="Y1953" s="7"/>
      <c r="Z1953" s="7"/>
      <c r="AA1953" s="7"/>
      <c r="AB1953" s="7"/>
      <c r="AC1953" s="7"/>
      <c r="AD1953" s="7"/>
      <c r="AE1953" s="7"/>
    </row>
    <row r="1954">
      <c r="A1954" s="7"/>
      <c r="B1954" s="21"/>
      <c r="C1954" s="21"/>
      <c r="D1954" s="21"/>
      <c r="E1954" s="21"/>
      <c r="F1954" s="21"/>
      <c r="G1954" s="21"/>
      <c r="H1954" s="21"/>
      <c r="I1954" s="21"/>
      <c r="J1954" s="21"/>
      <c r="K1954" s="21"/>
      <c r="L1954" s="21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7"/>
      <c r="Y1954" s="7"/>
      <c r="Z1954" s="7"/>
      <c r="AA1954" s="7"/>
      <c r="AB1954" s="7"/>
      <c r="AC1954" s="7"/>
      <c r="AD1954" s="7"/>
      <c r="AE1954" s="7"/>
    </row>
    <row r="1955">
      <c r="A1955" s="7"/>
      <c r="B1955" s="21"/>
      <c r="C1955" s="21"/>
      <c r="D1955" s="21"/>
      <c r="E1955" s="21"/>
      <c r="F1955" s="21"/>
      <c r="G1955" s="21"/>
      <c r="H1955" s="21"/>
      <c r="I1955" s="21"/>
      <c r="J1955" s="21"/>
      <c r="K1955" s="21"/>
      <c r="L1955" s="21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  <c r="X1955" s="7"/>
      <c r="Y1955" s="7"/>
      <c r="Z1955" s="7"/>
      <c r="AA1955" s="7"/>
      <c r="AB1955" s="7"/>
      <c r="AC1955" s="7"/>
      <c r="AD1955" s="7"/>
      <c r="AE1955" s="7"/>
    </row>
    <row r="1956">
      <c r="A1956" s="7"/>
      <c r="B1956" s="21"/>
      <c r="C1956" s="21"/>
      <c r="D1956" s="21"/>
      <c r="E1956" s="21"/>
      <c r="F1956" s="21"/>
      <c r="G1956" s="21"/>
      <c r="H1956" s="21"/>
      <c r="I1956" s="21"/>
      <c r="J1956" s="21"/>
      <c r="K1956" s="21"/>
      <c r="L1956" s="21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  <c r="X1956" s="7"/>
      <c r="Y1956" s="7"/>
      <c r="Z1956" s="7"/>
      <c r="AA1956" s="7"/>
      <c r="AB1956" s="7"/>
      <c r="AC1956" s="7"/>
      <c r="AD1956" s="7"/>
      <c r="AE1956" s="7"/>
    </row>
    <row r="1957">
      <c r="A1957" s="7"/>
      <c r="B1957" s="21"/>
      <c r="C1957" s="21"/>
      <c r="D1957" s="21"/>
      <c r="E1957" s="21"/>
      <c r="F1957" s="21"/>
      <c r="G1957" s="21"/>
      <c r="H1957" s="21"/>
      <c r="I1957" s="21"/>
      <c r="J1957" s="21"/>
      <c r="K1957" s="21"/>
      <c r="L1957" s="21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  <c r="X1957" s="7"/>
      <c r="Y1957" s="7"/>
      <c r="Z1957" s="7"/>
      <c r="AA1957" s="7"/>
      <c r="AB1957" s="7"/>
      <c r="AC1957" s="7"/>
      <c r="AD1957" s="7"/>
      <c r="AE1957" s="7"/>
    </row>
    <row r="1958">
      <c r="A1958" s="7"/>
      <c r="B1958" s="21"/>
      <c r="C1958" s="21"/>
      <c r="D1958" s="21"/>
      <c r="E1958" s="21"/>
      <c r="F1958" s="21"/>
      <c r="G1958" s="21"/>
      <c r="H1958" s="21"/>
      <c r="I1958" s="21"/>
      <c r="J1958" s="21"/>
      <c r="K1958" s="21"/>
      <c r="L1958" s="21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  <c r="X1958" s="7"/>
      <c r="Y1958" s="7"/>
      <c r="Z1958" s="7"/>
      <c r="AA1958" s="7"/>
      <c r="AB1958" s="7"/>
      <c r="AC1958" s="7"/>
      <c r="AD1958" s="7"/>
      <c r="AE1958" s="7"/>
    </row>
    <row r="1959">
      <c r="A1959" s="7"/>
      <c r="B1959" s="21"/>
      <c r="C1959" s="21"/>
      <c r="D1959" s="21"/>
      <c r="E1959" s="21"/>
      <c r="F1959" s="21"/>
      <c r="G1959" s="21"/>
      <c r="H1959" s="21"/>
      <c r="I1959" s="21"/>
      <c r="J1959" s="21"/>
      <c r="K1959" s="21"/>
      <c r="L1959" s="21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  <c r="X1959" s="7"/>
      <c r="Y1959" s="7"/>
      <c r="Z1959" s="7"/>
      <c r="AA1959" s="7"/>
      <c r="AB1959" s="7"/>
      <c r="AC1959" s="7"/>
      <c r="AD1959" s="7"/>
      <c r="AE1959" s="7"/>
    </row>
    <row r="1960">
      <c r="A1960" s="7"/>
      <c r="B1960" s="21"/>
      <c r="C1960" s="21"/>
      <c r="D1960" s="21"/>
      <c r="E1960" s="21"/>
      <c r="F1960" s="21"/>
      <c r="G1960" s="21"/>
      <c r="H1960" s="21"/>
      <c r="I1960" s="21"/>
      <c r="J1960" s="21"/>
      <c r="K1960" s="21"/>
      <c r="L1960" s="21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  <c r="X1960" s="7"/>
      <c r="Y1960" s="7"/>
      <c r="Z1960" s="7"/>
      <c r="AA1960" s="7"/>
      <c r="AB1960" s="7"/>
      <c r="AC1960" s="7"/>
      <c r="AD1960" s="7"/>
      <c r="AE1960" s="7"/>
    </row>
    <row r="1961">
      <c r="A1961" s="7"/>
      <c r="B1961" s="21"/>
      <c r="C1961" s="21"/>
      <c r="D1961" s="21"/>
      <c r="E1961" s="21"/>
      <c r="F1961" s="21"/>
      <c r="G1961" s="21"/>
      <c r="H1961" s="21"/>
      <c r="I1961" s="21"/>
      <c r="J1961" s="21"/>
      <c r="K1961" s="21"/>
      <c r="L1961" s="21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  <c r="X1961" s="7"/>
      <c r="Y1961" s="7"/>
      <c r="Z1961" s="7"/>
      <c r="AA1961" s="7"/>
      <c r="AB1961" s="7"/>
      <c r="AC1961" s="7"/>
      <c r="AD1961" s="7"/>
      <c r="AE1961" s="7"/>
    </row>
    <row r="1962">
      <c r="A1962" s="7"/>
      <c r="B1962" s="21"/>
      <c r="C1962" s="21"/>
      <c r="D1962" s="21"/>
      <c r="E1962" s="21"/>
      <c r="F1962" s="21"/>
      <c r="G1962" s="21"/>
      <c r="H1962" s="21"/>
      <c r="I1962" s="21"/>
      <c r="J1962" s="21"/>
      <c r="K1962" s="21"/>
      <c r="L1962" s="21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  <c r="X1962" s="7"/>
      <c r="Y1962" s="7"/>
      <c r="Z1962" s="7"/>
      <c r="AA1962" s="7"/>
      <c r="AB1962" s="7"/>
      <c r="AC1962" s="7"/>
      <c r="AD1962" s="7"/>
      <c r="AE1962" s="7"/>
    </row>
    <row r="1963">
      <c r="A1963" s="7"/>
      <c r="B1963" s="21"/>
      <c r="C1963" s="21"/>
      <c r="D1963" s="21"/>
      <c r="E1963" s="21"/>
      <c r="F1963" s="21"/>
      <c r="G1963" s="21"/>
      <c r="H1963" s="21"/>
      <c r="I1963" s="21"/>
      <c r="J1963" s="21"/>
      <c r="K1963" s="21"/>
      <c r="L1963" s="21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7"/>
      <c r="X1963" s="7"/>
      <c r="Y1963" s="7"/>
      <c r="Z1963" s="7"/>
      <c r="AA1963" s="7"/>
      <c r="AB1963" s="7"/>
      <c r="AC1963" s="7"/>
      <c r="AD1963" s="7"/>
      <c r="AE1963" s="7"/>
    </row>
    <row r="1964">
      <c r="A1964" s="7"/>
      <c r="B1964" s="21"/>
      <c r="C1964" s="21"/>
      <c r="D1964" s="21"/>
      <c r="E1964" s="21"/>
      <c r="F1964" s="21"/>
      <c r="G1964" s="21"/>
      <c r="H1964" s="21"/>
      <c r="I1964" s="21"/>
      <c r="J1964" s="21"/>
      <c r="K1964" s="21"/>
      <c r="L1964" s="21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  <c r="X1964" s="7"/>
      <c r="Y1964" s="7"/>
      <c r="Z1964" s="7"/>
      <c r="AA1964" s="7"/>
      <c r="AB1964" s="7"/>
      <c r="AC1964" s="7"/>
      <c r="AD1964" s="7"/>
      <c r="AE1964" s="7"/>
    </row>
    <row r="1965">
      <c r="A1965" s="7"/>
      <c r="B1965" s="21"/>
      <c r="C1965" s="21"/>
      <c r="D1965" s="21"/>
      <c r="E1965" s="21"/>
      <c r="F1965" s="21"/>
      <c r="G1965" s="21"/>
      <c r="H1965" s="21"/>
      <c r="I1965" s="21"/>
      <c r="J1965" s="21"/>
      <c r="K1965" s="21"/>
      <c r="L1965" s="21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  <c r="X1965" s="7"/>
      <c r="Y1965" s="7"/>
      <c r="Z1965" s="7"/>
      <c r="AA1965" s="7"/>
      <c r="AB1965" s="7"/>
      <c r="AC1965" s="7"/>
      <c r="AD1965" s="7"/>
      <c r="AE1965" s="7"/>
    </row>
    <row r="1966">
      <c r="A1966" s="7"/>
      <c r="B1966" s="21"/>
      <c r="C1966" s="21"/>
      <c r="D1966" s="21"/>
      <c r="E1966" s="21"/>
      <c r="F1966" s="21"/>
      <c r="G1966" s="21"/>
      <c r="H1966" s="21"/>
      <c r="I1966" s="21"/>
      <c r="J1966" s="21"/>
      <c r="K1966" s="21"/>
      <c r="L1966" s="21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  <c r="X1966" s="7"/>
      <c r="Y1966" s="7"/>
      <c r="Z1966" s="7"/>
      <c r="AA1966" s="7"/>
      <c r="AB1966" s="7"/>
      <c r="AC1966" s="7"/>
      <c r="AD1966" s="7"/>
      <c r="AE1966" s="7"/>
    </row>
    <row r="1967">
      <c r="A1967" s="7"/>
      <c r="B1967" s="21"/>
      <c r="C1967" s="21"/>
      <c r="D1967" s="21"/>
      <c r="E1967" s="21"/>
      <c r="F1967" s="21"/>
      <c r="G1967" s="21"/>
      <c r="H1967" s="21"/>
      <c r="I1967" s="21"/>
      <c r="J1967" s="21"/>
      <c r="K1967" s="21"/>
      <c r="L1967" s="21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  <c r="X1967" s="7"/>
      <c r="Y1967" s="7"/>
      <c r="Z1967" s="7"/>
      <c r="AA1967" s="7"/>
      <c r="AB1967" s="7"/>
      <c r="AC1967" s="7"/>
      <c r="AD1967" s="7"/>
      <c r="AE1967" s="7"/>
    </row>
    <row r="1968">
      <c r="A1968" s="7"/>
      <c r="B1968" s="21"/>
      <c r="C1968" s="21"/>
      <c r="D1968" s="21"/>
      <c r="E1968" s="21"/>
      <c r="F1968" s="21"/>
      <c r="G1968" s="21"/>
      <c r="H1968" s="21"/>
      <c r="I1968" s="21"/>
      <c r="J1968" s="21"/>
      <c r="K1968" s="21"/>
      <c r="L1968" s="21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  <c r="X1968" s="7"/>
      <c r="Y1968" s="7"/>
      <c r="Z1968" s="7"/>
      <c r="AA1968" s="7"/>
      <c r="AB1968" s="7"/>
      <c r="AC1968" s="7"/>
      <c r="AD1968" s="7"/>
      <c r="AE1968" s="7"/>
    </row>
    <row r="1969">
      <c r="A1969" s="7"/>
      <c r="B1969" s="21"/>
      <c r="C1969" s="21"/>
      <c r="D1969" s="21"/>
      <c r="E1969" s="21"/>
      <c r="F1969" s="21"/>
      <c r="G1969" s="21"/>
      <c r="H1969" s="21"/>
      <c r="I1969" s="21"/>
      <c r="J1969" s="21"/>
      <c r="K1969" s="21"/>
      <c r="L1969" s="21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</row>
    <row r="1970">
      <c r="A1970" s="7"/>
      <c r="B1970" s="21"/>
      <c r="C1970" s="21"/>
      <c r="D1970" s="21"/>
      <c r="E1970" s="21"/>
      <c r="F1970" s="21"/>
      <c r="G1970" s="21"/>
      <c r="H1970" s="21"/>
      <c r="I1970" s="21"/>
      <c r="J1970" s="21"/>
      <c r="K1970" s="21"/>
      <c r="L1970" s="21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</row>
    <row r="1971">
      <c r="A1971" s="7"/>
      <c r="B1971" s="21"/>
      <c r="C1971" s="21"/>
      <c r="D1971" s="21"/>
      <c r="E1971" s="21"/>
      <c r="F1971" s="21"/>
      <c r="G1971" s="21"/>
      <c r="H1971" s="21"/>
      <c r="I1971" s="21"/>
      <c r="J1971" s="21"/>
      <c r="K1971" s="21"/>
      <c r="L1971" s="21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</row>
    <row r="1972">
      <c r="A1972" s="7"/>
      <c r="B1972" s="21"/>
      <c r="C1972" s="21"/>
      <c r="D1972" s="21"/>
      <c r="E1972" s="21"/>
      <c r="F1972" s="21"/>
      <c r="G1972" s="21"/>
      <c r="H1972" s="21"/>
      <c r="I1972" s="21"/>
      <c r="J1972" s="21"/>
      <c r="K1972" s="21"/>
      <c r="L1972" s="21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</row>
    <row r="1973">
      <c r="A1973" s="7"/>
      <c r="B1973" s="21"/>
      <c r="C1973" s="21"/>
      <c r="D1973" s="21"/>
      <c r="E1973" s="21"/>
      <c r="F1973" s="21"/>
      <c r="G1973" s="21"/>
      <c r="H1973" s="21"/>
      <c r="I1973" s="21"/>
      <c r="J1973" s="21"/>
      <c r="K1973" s="21"/>
      <c r="L1973" s="21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</row>
    <row r="1974">
      <c r="A1974" s="7"/>
      <c r="B1974" s="21"/>
      <c r="C1974" s="21"/>
      <c r="D1974" s="21"/>
      <c r="E1974" s="21"/>
      <c r="F1974" s="21"/>
      <c r="G1974" s="21"/>
      <c r="H1974" s="21"/>
      <c r="I1974" s="21"/>
      <c r="J1974" s="21"/>
      <c r="K1974" s="21"/>
      <c r="L1974" s="21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</row>
    <row r="1975">
      <c r="A1975" s="7"/>
      <c r="B1975" s="21"/>
      <c r="C1975" s="21"/>
      <c r="D1975" s="21"/>
      <c r="E1975" s="21"/>
      <c r="F1975" s="21"/>
      <c r="G1975" s="21"/>
      <c r="H1975" s="21"/>
      <c r="I1975" s="21"/>
      <c r="J1975" s="21"/>
      <c r="K1975" s="21"/>
      <c r="L1975" s="21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</row>
    <row r="1976">
      <c r="A1976" s="7"/>
      <c r="B1976" s="21"/>
      <c r="C1976" s="21"/>
      <c r="D1976" s="21"/>
      <c r="E1976" s="21"/>
      <c r="F1976" s="21"/>
      <c r="G1976" s="21"/>
      <c r="H1976" s="21"/>
      <c r="I1976" s="21"/>
      <c r="J1976" s="21"/>
      <c r="K1976" s="21"/>
      <c r="L1976" s="21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</row>
    <row r="1977">
      <c r="A1977" s="7"/>
      <c r="B1977" s="21"/>
      <c r="C1977" s="21"/>
      <c r="D1977" s="21"/>
      <c r="E1977" s="21"/>
      <c r="F1977" s="21"/>
      <c r="G1977" s="21"/>
      <c r="H1977" s="21"/>
      <c r="I1977" s="21"/>
      <c r="J1977" s="21"/>
      <c r="K1977" s="21"/>
      <c r="L1977" s="21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</row>
    <row r="1978">
      <c r="A1978" s="7"/>
      <c r="B1978" s="21"/>
      <c r="C1978" s="21"/>
      <c r="D1978" s="21"/>
      <c r="E1978" s="21"/>
      <c r="F1978" s="21"/>
      <c r="G1978" s="21"/>
      <c r="H1978" s="21"/>
      <c r="I1978" s="21"/>
      <c r="J1978" s="21"/>
      <c r="K1978" s="21"/>
      <c r="L1978" s="21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</row>
    <row r="1979">
      <c r="A1979" s="7"/>
      <c r="B1979" s="21"/>
      <c r="C1979" s="21"/>
      <c r="D1979" s="21"/>
      <c r="E1979" s="21"/>
      <c r="F1979" s="21"/>
      <c r="G1979" s="21"/>
      <c r="H1979" s="21"/>
      <c r="I1979" s="21"/>
      <c r="J1979" s="21"/>
      <c r="K1979" s="21"/>
      <c r="L1979" s="21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</row>
    <row r="1980">
      <c r="A1980" s="7"/>
      <c r="B1980" s="21"/>
      <c r="C1980" s="21"/>
      <c r="D1980" s="21"/>
      <c r="E1980" s="21"/>
      <c r="F1980" s="21"/>
      <c r="G1980" s="21"/>
      <c r="H1980" s="21"/>
      <c r="I1980" s="21"/>
      <c r="J1980" s="21"/>
      <c r="K1980" s="21"/>
      <c r="L1980" s="21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</row>
    <row r="1981">
      <c r="A1981" s="7"/>
      <c r="B1981" s="21"/>
      <c r="C1981" s="21"/>
      <c r="D1981" s="21"/>
      <c r="E1981" s="21"/>
      <c r="F1981" s="21"/>
      <c r="G1981" s="21"/>
      <c r="H1981" s="21"/>
      <c r="I1981" s="21"/>
      <c r="J1981" s="21"/>
      <c r="K1981" s="21"/>
      <c r="L1981" s="21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</row>
    <row r="1982">
      <c r="A1982" s="7"/>
      <c r="B1982" s="21"/>
      <c r="C1982" s="21"/>
      <c r="D1982" s="21"/>
      <c r="E1982" s="21"/>
      <c r="F1982" s="21"/>
      <c r="G1982" s="21"/>
      <c r="H1982" s="21"/>
      <c r="I1982" s="21"/>
      <c r="J1982" s="21"/>
      <c r="K1982" s="21"/>
      <c r="L1982" s="21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</row>
    <row r="1983">
      <c r="A1983" s="7"/>
      <c r="B1983" s="21"/>
      <c r="C1983" s="21"/>
      <c r="D1983" s="21"/>
      <c r="E1983" s="21"/>
      <c r="F1983" s="21"/>
      <c r="G1983" s="21"/>
      <c r="H1983" s="21"/>
      <c r="I1983" s="21"/>
      <c r="J1983" s="21"/>
      <c r="K1983" s="21"/>
      <c r="L1983" s="21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</row>
    <row r="1984">
      <c r="A1984" s="7"/>
      <c r="B1984" s="21"/>
      <c r="C1984" s="21"/>
      <c r="D1984" s="21"/>
      <c r="E1984" s="21"/>
      <c r="F1984" s="21"/>
      <c r="G1984" s="21"/>
      <c r="H1984" s="21"/>
      <c r="I1984" s="21"/>
      <c r="J1984" s="21"/>
      <c r="K1984" s="21"/>
      <c r="L1984" s="21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</row>
    <row r="1985">
      <c r="A1985" s="7"/>
      <c r="B1985" s="21"/>
      <c r="C1985" s="21"/>
      <c r="D1985" s="21"/>
      <c r="E1985" s="21"/>
      <c r="F1985" s="21"/>
      <c r="G1985" s="21"/>
      <c r="H1985" s="21"/>
      <c r="I1985" s="21"/>
      <c r="J1985" s="21"/>
      <c r="K1985" s="21"/>
      <c r="L1985" s="21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</row>
    <row r="1986">
      <c r="A1986" s="7"/>
      <c r="B1986" s="21"/>
      <c r="C1986" s="21"/>
      <c r="D1986" s="21"/>
      <c r="E1986" s="21"/>
      <c r="F1986" s="21"/>
      <c r="G1986" s="21"/>
      <c r="H1986" s="21"/>
      <c r="I1986" s="21"/>
      <c r="J1986" s="21"/>
      <c r="K1986" s="21"/>
      <c r="L1986" s="21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  <c r="X1986" s="7"/>
      <c r="Y1986" s="7"/>
      <c r="Z1986" s="7"/>
      <c r="AA1986" s="7"/>
      <c r="AB1986" s="7"/>
      <c r="AC1986" s="7"/>
      <c r="AD1986" s="7"/>
      <c r="AE1986" s="7"/>
    </row>
    <row r="1987">
      <c r="A1987" s="7"/>
      <c r="B1987" s="21"/>
      <c r="C1987" s="21"/>
      <c r="D1987" s="21"/>
      <c r="E1987" s="21"/>
      <c r="F1987" s="21"/>
      <c r="G1987" s="21"/>
      <c r="H1987" s="21"/>
      <c r="I1987" s="21"/>
      <c r="J1987" s="21"/>
      <c r="K1987" s="21"/>
      <c r="L1987" s="21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  <c r="X1987" s="7"/>
      <c r="Y1987" s="7"/>
      <c r="Z1987" s="7"/>
      <c r="AA1987" s="7"/>
      <c r="AB1987" s="7"/>
      <c r="AC1987" s="7"/>
      <c r="AD1987" s="7"/>
      <c r="AE1987" s="7"/>
    </row>
    <row r="1988">
      <c r="A1988" s="7"/>
      <c r="B1988" s="21"/>
      <c r="C1988" s="21"/>
      <c r="D1988" s="21"/>
      <c r="E1988" s="21"/>
      <c r="F1988" s="21"/>
      <c r="G1988" s="21"/>
      <c r="H1988" s="21"/>
      <c r="I1988" s="21"/>
      <c r="J1988" s="21"/>
      <c r="K1988" s="21"/>
      <c r="L1988" s="21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  <c r="X1988" s="7"/>
      <c r="Y1988" s="7"/>
      <c r="Z1988" s="7"/>
      <c r="AA1988" s="7"/>
      <c r="AB1988" s="7"/>
      <c r="AC1988" s="7"/>
      <c r="AD1988" s="7"/>
      <c r="AE1988" s="7"/>
    </row>
    <row r="1989">
      <c r="A1989" s="7"/>
      <c r="B1989" s="21"/>
      <c r="C1989" s="21"/>
      <c r="D1989" s="21"/>
      <c r="E1989" s="21"/>
      <c r="F1989" s="21"/>
      <c r="G1989" s="21"/>
      <c r="H1989" s="21"/>
      <c r="I1989" s="21"/>
      <c r="J1989" s="21"/>
      <c r="K1989" s="21"/>
      <c r="L1989" s="21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7"/>
      <c r="X1989" s="7"/>
      <c r="Y1989" s="7"/>
      <c r="Z1989" s="7"/>
      <c r="AA1989" s="7"/>
      <c r="AB1989" s="7"/>
      <c r="AC1989" s="7"/>
      <c r="AD1989" s="7"/>
      <c r="AE1989" s="7"/>
    </row>
    <row r="1990">
      <c r="A1990" s="7"/>
      <c r="B1990" s="21"/>
      <c r="C1990" s="21"/>
      <c r="D1990" s="21"/>
      <c r="E1990" s="21"/>
      <c r="F1990" s="21"/>
      <c r="G1990" s="21"/>
      <c r="H1990" s="21"/>
      <c r="I1990" s="21"/>
      <c r="J1990" s="21"/>
      <c r="K1990" s="21"/>
      <c r="L1990" s="21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7"/>
      <c r="X1990" s="7"/>
      <c r="Y1990" s="7"/>
      <c r="Z1990" s="7"/>
      <c r="AA1990" s="7"/>
      <c r="AB1990" s="7"/>
      <c r="AC1990" s="7"/>
      <c r="AD1990" s="7"/>
      <c r="AE1990" s="7"/>
    </row>
    <row r="1991">
      <c r="A1991" s="7"/>
      <c r="B1991" s="21"/>
      <c r="C1991" s="21"/>
      <c r="D1991" s="21"/>
      <c r="E1991" s="21"/>
      <c r="F1991" s="21"/>
      <c r="G1991" s="21"/>
      <c r="H1991" s="21"/>
      <c r="I1991" s="21"/>
      <c r="J1991" s="21"/>
      <c r="K1991" s="21"/>
      <c r="L1991" s="21"/>
      <c r="M1991" s="7"/>
      <c r="N1991" s="7"/>
      <c r="O1991" s="7"/>
      <c r="P1991" s="7"/>
      <c r="Q1991" s="7"/>
      <c r="R1991" s="7"/>
      <c r="S1991" s="7"/>
      <c r="T1991" s="7"/>
      <c r="U1991" s="7"/>
      <c r="V1991" s="7"/>
      <c r="W1991" s="7"/>
      <c r="X1991" s="7"/>
      <c r="Y1991" s="7"/>
      <c r="Z1991" s="7"/>
      <c r="AA1991" s="7"/>
      <c r="AB1991" s="7"/>
      <c r="AC1991" s="7"/>
      <c r="AD1991" s="7"/>
      <c r="AE1991" s="7"/>
    </row>
    <row r="1992">
      <c r="A1992" s="7"/>
      <c r="B1992" s="21"/>
      <c r="C1992" s="21"/>
      <c r="D1992" s="21"/>
      <c r="E1992" s="21"/>
      <c r="F1992" s="21"/>
      <c r="G1992" s="21"/>
      <c r="H1992" s="21"/>
      <c r="I1992" s="21"/>
      <c r="J1992" s="21"/>
      <c r="K1992" s="21"/>
      <c r="L1992" s="21"/>
      <c r="M1992" s="7"/>
      <c r="N1992" s="7"/>
      <c r="O1992" s="7"/>
      <c r="P1992" s="7"/>
      <c r="Q1992" s="7"/>
      <c r="R1992" s="7"/>
      <c r="S1992" s="7"/>
      <c r="T1992" s="7"/>
      <c r="U1992" s="7"/>
      <c r="V1992" s="7"/>
      <c r="W1992" s="7"/>
      <c r="X1992" s="7"/>
      <c r="Y1992" s="7"/>
      <c r="Z1992" s="7"/>
      <c r="AA1992" s="7"/>
      <c r="AB1992" s="7"/>
      <c r="AC1992" s="7"/>
      <c r="AD1992" s="7"/>
      <c r="AE1992" s="7"/>
    </row>
    <row r="1993">
      <c r="A1993" s="7"/>
      <c r="B1993" s="21"/>
      <c r="C1993" s="21"/>
      <c r="D1993" s="21"/>
      <c r="E1993" s="21"/>
      <c r="F1993" s="21"/>
      <c r="G1993" s="21"/>
      <c r="H1993" s="21"/>
      <c r="I1993" s="21"/>
      <c r="J1993" s="21"/>
      <c r="K1993" s="21"/>
      <c r="L1993" s="21"/>
      <c r="M1993" s="7"/>
      <c r="N1993" s="7"/>
      <c r="O1993" s="7"/>
      <c r="P1993" s="7"/>
      <c r="Q1993" s="7"/>
      <c r="R1993" s="7"/>
      <c r="S1993" s="7"/>
      <c r="T1993" s="7"/>
      <c r="U1993" s="7"/>
      <c r="V1993" s="7"/>
      <c r="W1993" s="7"/>
      <c r="X1993" s="7"/>
      <c r="Y1993" s="7"/>
      <c r="Z1993" s="7"/>
      <c r="AA1993" s="7"/>
      <c r="AB1993" s="7"/>
      <c r="AC1993" s="7"/>
      <c r="AD1993" s="7"/>
      <c r="AE1993" s="7"/>
    </row>
    <row r="1994">
      <c r="A1994" s="7"/>
      <c r="B1994" s="21"/>
      <c r="C1994" s="21"/>
      <c r="D1994" s="21"/>
      <c r="E1994" s="21"/>
      <c r="F1994" s="21"/>
      <c r="G1994" s="21"/>
      <c r="H1994" s="21"/>
      <c r="I1994" s="21"/>
      <c r="J1994" s="21"/>
      <c r="K1994" s="21"/>
      <c r="L1994" s="21"/>
      <c r="M1994" s="7"/>
      <c r="N1994" s="7"/>
      <c r="O1994" s="7"/>
      <c r="P1994" s="7"/>
      <c r="Q1994" s="7"/>
      <c r="R1994" s="7"/>
      <c r="S1994" s="7"/>
      <c r="T1994" s="7"/>
      <c r="U1994" s="7"/>
      <c r="V1994" s="7"/>
      <c r="W1994" s="7"/>
      <c r="X1994" s="7"/>
      <c r="Y1994" s="7"/>
      <c r="Z1994" s="7"/>
      <c r="AA1994" s="7"/>
      <c r="AB1994" s="7"/>
      <c r="AC1994" s="7"/>
      <c r="AD1994" s="7"/>
      <c r="AE1994" s="7"/>
    </row>
    <row r="1995">
      <c r="A1995" s="7"/>
      <c r="B1995" s="21"/>
      <c r="C1995" s="21"/>
      <c r="D1995" s="21"/>
      <c r="E1995" s="21"/>
      <c r="F1995" s="21"/>
      <c r="G1995" s="21"/>
      <c r="H1995" s="21"/>
      <c r="I1995" s="21"/>
      <c r="J1995" s="21"/>
      <c r="K1995" s="21"/>
      <c r="L1995" s="21"/>
      <c r="M1995" s="7"/>
      <c r="N1995" s="7"/>
      <c r="O1995" s="7"/>
      <c r="P1995" s="7"/>
      <c r="Q1995" s="7"/>
      <c r="R1995" s="7"/>
      <c r="S1995" s="7"/>
      <c r="T1995" s="7"/>
      <c r="U1995" s="7"/>
      <c r="V1995" s="7"/>
      <c r="W1995" s="7"/>
      <c r="X1995" s="7"/>
      <c r="Y1995" s="7"/>
      <c r="Z1995" s="7"/>
      <c r="AA1995" s="7"/>
      <c r="AB1995" s="7"/>
      <c r="AC1995" s="7"/>
      <c r="AD1995" s="7"/>
      <c r="AE1995" s="7"/>
    </row>
    <row r="1996">
      <c r="A1996" s="7"/>
      <c r="B1996" s="21"/>
      <c r="C1996" s="21"/>
      <c r="D1996" s="21"/>
      <c r="E1996" s="21"/>
      <c r="F1996" s="21"/>
      <c r="G1996" s="21"/>
      <c r="H1996" s="21"/>
      <c r="I1996" s="21"/>
      <c r="J1996" s="21"/>
      <c r="K1996" s="21"/>
      <c r="L1996" s="21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7"/>
      <c r="X1996" s="7"/>
      <c r="Y1996" s="7"/>
      <c r="Z1996" s="7"/>
      <c r="AA1996" s="7"/>
      <c r="AB1996" s="7"/>
      <c r="AC1996" s="7"/>
      <c r="AD1996" s="7"/>
      <c r="AE1996" s="7"/>
    </row>
    <row r="1997">
      <c r="A1997" s="7"/>
      <c r="B1997" s="21"/>
      <c r="C1997" s="21"/>
      <c r="D1997" s="21"/>
      <c r="E1997" s="21"/>
      <c r="F1997" s="21"/>
      <c r="G1997" s="21"/>
      <c r="H1997" s="21"/>
      <c r="I1997" s="21"/>
      <c r="J1997" s="21"/>
      <c r="K1997" s="21"/>
      <c r="L1997" s="21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  <c r="X1997" s="7"/>
      <c r="Y1997" s="7"/>
      <c r="Z1997" s="7"/>
      <c r="AA1997" s="7"/>
      <c r="AB1997" s="7"/>
      <c r="AC1997" s="7"/>
      <c r="AD1997" s="7"/>
      <c r="AE1997" s="7"/>
    </row>
    <row r="1998">
      <c r="A1998" s="7"/>
      <c r="B1998" s="21"/>
      <c r="C1998" s="21"/>
      <c r="D1998" s="21"/>
      <c r="E1998" s="21"/>
      <c r="F1998" s="21"/>
      <c r="G1998" s="21"/>
      <c r="H1998" s="21"/>
      <c r="I1998" s="21"/>
      <c r="J1998" s="21"/>
      <c r="K1998" s="21"/>
      <c r="L1998" s="21"/>
      <c r="M1998" s="7"/>
      <c r="N1998" s="7"/>
      <c r="O1998" s="7"/>
      <c r="P1998" s="7"/>
      <c r="Q1998" s="7"/>
      <c r="R1998" s="7"/>
      <c r="S1998" s="7"/>
      <c r="T1998" s="7"/>
      <c r="U1998" s="7"/>
      <c r="V1998" s="7"/>
      <c r="W1998" s="7"/>
      <c r="X1998" s="7"/>
      <c r="Y1998" s="7"/>
      <c r="Z1998" s="7"/>
      <c r="AA1998" s="7"/>
      <c r="AB1998" s="7"/>
      <c r="AC1998" s="7"/>
      <c r="AD1998" s="7"/>
      <c r="AE1998" s="7"/>
    </row>
    <row r="1999">
      <c r="A1999" s="7"/>
      <c r="B1999" s="21"/>
      <c r="C1999" s="21"/>
      <c r="D1999" s="21"/>
      <c r="E1999" s="21"/>
      <c r="F1999" s="21"/>
      <c r="G1999" s="21"/>
      <c r="H1999" s="21"/>
      <c r="I1999" s="21"/>
      <c r="J1999" s="21"/>
      <c r="K1999" s="21"/>
      <c r="L1999" s="21"/>
      <c r="M1999" s="7"/>
      <c r="N1999" s="7"/>
      <c r="O1999" s="7"/>
      <c r="P1999" s="7"/>
      <c r="Q1999" s="7"/>
      <c r="R1999" s="7"/>
      <c r="S1999" s="7"/>
      <c r="T1999" s="7"/>
      <c r="U1999" s="7"/>
      <c r="V1999" s="7"/>
      <c r="W1999" s="7"/>
      <c r="X1999" s="7"/>
      <c r="Y1999" s="7"/>
      <c r="Z1999" s="7"/>
      <c r="AA1999" s="7"/>
      <c r="AB1999" s="7"/>
      <c r="AC1999" s="7"/>
      <c r="AD1999" s="7"/>
      <c r="AE1999" s="7"/>
    </row>
    <row r="2000">
      <c r="A2000" s="7"/>
      <c r="B2000" s="21"/>
      <c r="C2000" s="21"/>
      <c r="D2000" s="21"/>
      <c r="E2000" s="21"/>
      <c r="F2000" s="21"/>
      <c r="G2000" s="21"/>
      <c r="H2000" s="21"/>
      <c r="I2000" s="21"/>
      <c r="J2000" s="21"/>
      <c r="K2000" s="21"/>
      <c r="L2000" s="21"/>
      <c r="M2000" s="7"/>
      <c r="N2000" s="7"/>
      <c r="O2000" s="7"/>
      <c r="P2000" s="7"/>
      <c r="Q2000" s="7"/>
      <c r="R2000" s="7"/>
      <c r="S2000" s="7"/>
      <c r="T2000" s="7"/>
      <c r="U2000" s="7"/>
      <c r="V2000" s="7"/>
      <c r="W2000" s="7"/>
      <c r="X2000" s="7"/>
      <c r="Y2000" s="7"/>
      <c r="Z2000" s="7"/>
      <c r="AA2000" s="7"/>
      <c r="AB2000" s="7"/>
      <c r="AC2000" s="7"/>
      <c r="AD2000" s="7"/>
      <c r="AE2000" s="7"/>
    </row>
    <row r="2001">
      <c r="A2001" s="7"/>
      <c r="B2001" s="21"/>
      <c r="C2001" s="21"/>
      <c r="D2001" s="21"/>
      <c r="E2001" s="21"/>
      <c r="F2001" s="21"/>
      <c r="G2001" s="21"/>
      <c r="H2001" s="21"/>
      <c r="I2001" s="21"/>
      <c r="J2001" s="21"/>
      <c r="K2001" s="21"/>
      <c r="L2001" s="21"/>
      <c r="M2001" s="7"/>
      <c r="N2001" s="7"/>
      <c r="O2001" s="7"/>
      <c r="P2001" s="7"/>
      <c r="Q2001" s="7"/>
      <c r="R2001" s="7"/>
      <c r="S2001" s="7"/>
      <c r="T2001" s="7"/>
      <c r="U2001" s="7"/>
      <c r="V2001" s="7"/>
      <c r="W2001" s="7"/>
      <c r="X2001" s="7"/>
      <c r="Y2001" s="7"/>
      <c r="Z2001" s="7"/>
      <c r="AA2001" s="7"/>
      <c r="AB2001" s="7"/>
      <c r="AC2001" s="7"/>
      <c r="AD2001" s="7"/>
      <c r="AE2001" s="7"/>
    </row>
    <row r="2002">
      <c r="A2002" s="7"/>
      <c r="B2002" s="21"/>
      <c r="C2002" s="21"/>
      <c r="D2002" s="21"/>
      <c r="E2002" s="21"/>
      <c r="F2002" s="21"/>
      <c r="G2002" s="21"/>
      <c r="H2002" s="21"/>
      <c r="I2002" s="21"/>
      <c r="J2002" s="21"/>
      <c r="K2002" s="21"/>
      <c r="L2002" s="21"/>
      <c r="M2002" s="7"/>
      <c r="N2002" s="7"/>
      <c r="O2002" s="7"/>
      <c r="P2002" s="7"/>
      <c r="Q2002" s="7"/>
      <c r="R2002" s="7"/>
      <c r="S2002" s="7"/>
      <c r="T2002" s="7"/>
      <c r="U2002" s="7"/>
      <c r="V2002" s="7"/>
      <c r="W2002" s="7"/>
      <c r="X2002" s="7"/>
      <c r="Y2002" s="7"/>
      <c r="Z2002" s="7"/>
      <c r="AA2002" s="7"/>
      <c r="AB2002" s="7"/>
      <c r="AC2002" s="7"/>
      <c r="AD2002" s="7"/>
      <c r="AE2002" s="7"/>
    </row>
    <row r="2003">
      <c r="A2003" s="7"/>
      <c r="B2003" s="21"/>
      <c r="C2003" s="21"/>
      <c r="D2003" s="21"/>
      <c r="E2003" s="21"/>
      <c r="F2003" s="21"/>
      <c r="G2003" s="21"/>
      <c r="H2003" s="21"/>
      <c r="I2003" s="21"/>
      <c r="J2003" s="21"/>
      <c r="K2003" s="21"/>
      <c r="L2003" s="21"/>
      <c r="M2003" s="7"/>
      <c r="N2003" s="7"/>
      <c r="O2003" s="7"/>
      <c r="P2003" s="7"/>
      <c r="Q2003" s="7"/>
      <c r="R2003" s="7"/>
      <c r="S2003" s="7"/>
      <c r="T2003" s="7"/>
      <c r="U2003" s="7"/>
      <c r="V2003" s="7"/>
      <c r="W2003" s="7"/>
      <c r="X2003" s="7"/>
      <c r="Y2003" s="7"/>
      <c r="Z2003" s="7"/>
      <c r="AA2003" s="7"/>
      <c r="AB2003" s="7"/>
      <c r="AC2003" s="7"/>
      <c r="AD2003" s="7"/>
      <c r="AE2003" s="7"/>
    </row>
    <row r="2004">
      <c r="A2004" s="7"/>
      <c r="B2004" s="21"/>
      <c r="C2004" s="21"/>
      <c r="D2004" s="21"/>
      <c r="E2004" s="21"/>
      <c r="F2004" s="21"/>
      <c r="G2004" s="21"/>
      <c r="H2004" s="21"/>
      <c r="I2004" s="21"/>
      <c r="J2004" s="21"/>
      <c r="K2004" s="21"/>
      <c r="L2004" s="21"/>
      <c r="M2004" s="7"/>
      <c r="N2004" s="7"/>
      <c r="O2004" s="7"/>
      <c r="P2004" s="7"/>
      <c r="Q2004" s="7"/>
      <c r="R2004" s="7"/>
      <c r="S2004" s="7"/>
      <c r="T2004" s="7"/>
      <c r="U2004" s="7"/>
      <c r="V2004" s="7"/>
      <c r="W2004" s="7"/>
      <c r="X2004" s="7"/>
      <c r="Y2004" s="7"/>
      <c r="Z2004" s="7"/>
      <c r="AA2004" s="7"/>
      <c r="AB2004" s="7"/>
      <c r="AC2004" s="7"/>
      <c r="AD2004" s="7"/>
      <c r="AE2004" s="7"/>
    </row>
    <row r="2005">
      <c r="A2005" s="7"/>
      <c r="B2005" s="21"/>
      <c r="C2005" s="21"/>
      <c r="D2005" s="21"/>
      <c r="E2005" s="21"/>
      <c r="F2005" s="21"/>
      <c r="G2005" s="21"/>
      <c r="H2005" s="21"/>
      <c r="I2005" s="21"/>
      <c r="J2005" s="21"/>
      <c r="K2005" s="21"/>
      <c r="L2005" s="21"/>
      <c r="M2005" s="7"/>
      <c r="N2005" s="7"/>
      <c r="O2005" s="7"/>
      <c r="P2005" s="7"/>
      <c r="Q2005" s="7"/>
      <c r="R2005" s="7"/>
      <c r="S2005" s="7"/>
      <c r="T2005" s="7"/>
      <c r="U2005" s="7"/>
      <c r="V2005" s="7"/>
      <c r="W2005" s="7"/>
      <c r="X2005" s="7"/>
      <c r="Y2005" s="7"/>
      <c r="Z2005" s="7"/>
      <c r="AA2005" s="7"/>
      <c r="AB2005" s="7"/>
      <c r="AC2005" s="7"/>
      <c r="AD2005" s="7"/>
      <c r="AE2005" s="7"/>
    </row>
    <row r="2006">
      <c r="A2006" s="7"/>
      <c r="B2006" s="21"/>
      <c r="C2006" s="21"/>
      <c r="D2006" s="21"/>
      <c r="E2006" s="21"/>
      <c r="F2006" s="21"/>
      <c r="G2006" s="21"/>
      <c r="H2006" s="21"/>
      <c r="I2006" s="21"/>
      <c r="J2006" s="21"/>
      <c r="K2006" s="21"/>
      <c r="L2006" s="21"/>
      <c r="M2006" s="7"/>
      <c r="N2006" s="7"/>
      <c r="O2006" s="7"/>
      <c r="P2006" s="7"/>
      <c r="Q2006" s="7"/>
      <c r="R2006" s="7"/>
      <c r="S2006" s="7"/>
      <c r="T2006" s="7"/>
      <c r="U2006" s="7"/>
      <c r="V2006" s="7"/>
      <c r="W2006" s="7"/>
      <c r="X2006" s="7"/>
      <c r="Y2006" s="7"/>
      <c r="Z2006" s="7"/>
      <c r="AA2006" s="7"/>
      <c r="AB2006" s="7"/>
      <c r="AC2006" s="7"/>
      <c r="AD2006" s="7"/>
      <c r="AE2006" s="7"/>
    </row>
    <row r="2007">
      <c r="A2007" s="7"/>
      <c r="B2007" s="21"/>
      <c r="C2007" s="21"/>
      <c r="D2007" s="21"/>
      <c r="E2007" s="21"/>
      <c r="F2007" s="21"/>
      <c r="G2007" s="21"/>
      <c r="H2007" s="21"/>
      <c r="I2007" s="21"/>
      <c r="J2007" s="21"/>
      <c r="K2007" s="21"/>
      <c r="L2007" s="21"/>
      <c r="M2007" s="7"/>
      <c r="N2007" s="7"/>
      <c r="O2007" s="7"/>
      <c r="P2007" s="7"/>
      <c r="Q2007" s="7"/>
      <c r="R2007" s="7"/>
      <c r="S2007" s="7"/>
      <c r="T2007" s="7"/>
      <c r="U2007" s="7"/>
      <c r="V2007" s="7"/>
      <c r="W2007" s="7"/>
      <c r="X2007" s="7"/>
      <c r="Y2007" s="7"/>
      <c r="Z2007" s="7"/>
      <c r="AA2007" s="7"/>
      <c r="AB2007" s="7"/>
      <c r="AC2007" s="7"/>
      <c r="AD2007" s="7"/>
      <c r="AE2007" s="7"/>
    </row>
    <row r="2008">
      <c r="A2008" s="7"/>
      <c r="B2008" s="21"/>
      <c r="C2008" s="21"/>
      <c r="D2008" s="21"/>
      <c r="E2008" s="21"/>
      <c r="F2008" s="21"/>
      <c r="G2008" s="21"/>
      <c r="H2008" s="21"/>
      <c r="I2008" s="21"/>
      <c r="J2008" s="21"/>
      <c r="K2008" s="21"/>
      <c r="L2008" s="21"/>
      <c r="M2008" s="7"/>
      <c r="N2008" s="7"/>
      <c r="O2008" s="7"/>
      <c r="P2008" s="7"/>
      <c r="Q2008" s="7"/>
      <c r="R2008" s="7"/>
      <c r="S2008" s="7"/>
      <c r="T2008" s="7"/>
      <c r="U2008" s="7"/>
      <c r="V2008" s="7"/>
      <c r="W2008" s="7"/>
      <c r="X2008" s="7"/>
      <c r="Y2008" s="7"/>
      <c r="Z2008" s="7"/>
      <c r="AA2008" s="7"/>
      <c r="AB2008" s="7"/>
      <c r="AC2008" s="7"/>
      <c r="AD2008" s="7"/>
      <c r="AE2008" s="7"/>
    </row>
    <row r="2009">
      <c r="A2009" s="7"/>
      <c r="B2009" s="21"/>
      <c r="C2009" s="21"/>
      <c r="D2009" s="21"/>
      <c r="E2009" s="21"/>
      <c r="F2009" s="21"/>
      <c r="G2009" s="21"/>
      <c r="H2009" s="21"/>
      <c r="I2009" s="21"/>
      <c r="J2009" s="21"/>
      <c r="K2009" s="21"/>
      <c r="L2009" s="21"/>
      <c r="M2009" s="7"/>
      <c r="N2009" s="7"/>
      <c r="O2009" s="7"/>
      <c r="P2009" s="7"/>
      <c r="Q2009" s="7"/>
      <c r="R2009" s="7"/>
      <c r="S2009" s="7"/>
      <c r="T2009" s="7"/>
      <c r="U2009" s="7"/>
      <c r="V2009" s="7"/>
      <c r="W2009" s="7"/>
      <c r="X2009" s="7"/>
      <c r="Y2009" s="7"/>
      <c r="Z2009" s="7"/>
      <c r="AA2009" s="7"/>
      <c r="AB2009" s="7"/>
      <c r="AC2009" s="7"/>
      <c r="AD2009" s="7"/>
      <c r="AE2009" s="7"/>
    </row>
    <row r="2010">
      <c r="A2010" s="7"/>
      <c r="B2010" s="21"/>
      <c r="C2010" s="21"/>
      <c r="D2010" s="21"/>
      <c r="E2010" s="21"/>
      <c r="F2010" s="21"/>
      <c r="G2010" s="21"/>
      <c r="H2010" s="21"/>
      <c r="I2010" s="21"/>
      <c r="J2010" s="21"/>
      <c r="K2010" s="21"/>
      <c r="L2010" s="21"/>
      <c r="M2010" s="7"/>
      <c r="N2010" s="7"/>
      <c r="O2010" s="7"/>
      <c r="P2010" s="7"/>
      <c r="Q2010" s="7"/>
      <c r="R2010" s="7"/>
      <c r="S2010" s="7"/>
      <c r="T2010" s="7"/>
      <c r="U2010" s="7"/>
      <c r="V2010" s="7"/>
      <c r="W2010" s="7"/>
      <c r="X2010" s="7"/>
      <c r="Y2010" s="7"/>
      <c r="Z2010" s="7"/>
      <c r="AA2010" s="7"/>
      <c r="AB2010" s="7"/>
      <c r="AC2010" s="7"/>
      <c r="AD2010" s="7"/>
      <c r="AE2010" s="7"/>
    </row>
    <row r="2011">
      <c r="A2011" s="7"/>
      <c r="B2011" s="21"/>
      <c r="C2011" s="21"/>
      <c r="D2011" s="21"/>
      <c r="E2011" s="21"/>
      <c r="F2011" s="21"/>
      <c r="G2011" s="21"/>
      <c r="H2011" s="21"/>
      <c r="I2011" s="21"/>
      <c r="J2011" s="21"/>
      <c r="K2011" s="21"/>
      <c r="L2011" s="21"/>
      <c r="M2011" s="7"/>
      <c r="N2011" s="7"/>
      <c r="O2011" s="7"/>
      <c r="P2011" s="7"/>
      <c r="Q2011" s="7"/>
      <c r="R2011" s="7"/>
      <c r="S2011" s="7"/>
      <c r="T2011" s="7"/>
      <c r="U2011" s="7"/>
      <c r="V2011" s="7"/>
      <c r="W2011" s="7"/>
      <c r="X2011" s="7"/>
      <c r="Y2011" s="7"/>
      <c r="Z2011" s="7"/>
      <c r="AA2011" s="7"/>
      <c r="AB2011" s="7"/>
      <c r="AC2011" s="7"/>
      <c r="AD2011" s="7"/>
      <c r="AE2011" s="7"/>
    </row>
    <row r="2012">
      <c r="A2012" s="7"/>
      <c r="B2012" s="21"/>
      <c r="C2012" s="21"/>
      <c r="D2012" s="21"/>
      <c r="E2012" s="21"/>
      <c r="F2012" s="21"/>
      <c r="G2012" s="21"/>
      <c r="H2012" s="21"/>
      <c r="I2012" s="21"/>
      <c r="J2012" s="21"/>
      <c r="K2012" s="21"/>
      <c r="L2012" s="21"/>
      <c r="M2012" s="7"/>
      <c r="N2012" s="7"/>
      <c r="O2012" s="7"/>
      <c r="P2012" s="7"/>
      <c r="Q2012" s="7"/>
      <c r="R2012" s="7"/>
      <c r="S2012" s="7"/>
      <c r="T2012" s="7"/>
      <c r="U2012" s="7"/>
      <c r="V2012" s="7"/>
      <c r="W2012" s="7"/>
      <c r="X2012" s="7"/>
      <c r="Y2012" s="7"/>
      <c r="Z2012" s="7"/>
      <c r="AA2012" s="7"/>
      <c r="AB2012" s="7"/>
      <c r="AC2012" s="7"/>
      <c r="AD2012" s="7"/>
      <c r="AE2012" s="7"/>
    </row>
    <row r="2013">
      <c r="A2013" s="7"/>
      <c r="B2013" s="21"/>
      <c r="C2013" s="21"/>
      <c r="D2013" s="21"/>
      <c r="E2013" s="21"/>
      <c r="F2013" s="21"/>
      <c r="G2013" s="21"/>
      <c r="H2013" s="21"/>
      <c r="I2013" s="21"/>
      <c r="J2013" s="21"/>
      <c r="K2013" s="21"/>
      <c r="L2013" s="21"/>
      <c r="M2013" s="7"/>
      <c r="N2013" s="7"/>
      <c r="O2013" s="7"/>
      <c r="P2013" s="7"/>
      <c r="Q2013" s="7"/>
      <c r="R2013" s="7"/>
      <c r="S2013" s="7"/>
      <c r="T2013" s="7"/>
      <c r="U2013" s="7"/>
      <c r="V2013" s="7"/>
      <c r="W2013" s="7"/>
      <c r="X2013" s="7"/>
      <c r="Y2013" s="7"/>
      <c r="Z2013" s="7"/>
      <c r="AA2013" s="7"/>
      <c r="AB2013" s="7"/>
      <c r="AC2013" s="7"/>
      <c r="AD2013" s="7"/>
      <c r="AE2013" s="7"/>
    </row>
    <row r="2014">
      <c r="A2014" s="7"/>
      <c r="B2014" s="21"/>
      <c r="C2014" s="21"/>
      <c r="D2014" s="21"/>
      <c r="E2014" s="21"/>
      <c r="F2014" s="21"/>
      <c r="G2014" s="21"/>
      <c r="H2014" s="21"/>
      <c r="I2014" s="21"/>
      <c r="J2014" s="21"/>
      <c r="K2014" s="21"/>
      <c r="L2014" s="21"/>
      <c r="M2014" s="7"/>
      <c r="N2014" s="7"/>
      <c r="O2014" s="7"/>
      <c r="P2014" s="7"/>
      <c r="Q2014" s="7"/>
      <c r="R2014" s="7"/>
      <c r="S2014" s="7"/>
      <c r="T2014" s="7"/>
      <c r="U2014" s="7"/>
      <c r="V2014" s="7"/>
      <c r="W2014" s="7"/>
      <c r="X2014" s="7"/>
      <c r="Y2014" s="7"/>
      <c r="Z2014" s="7"/>
      <c r="AA2014" s="7"/>
      <c r="AB2014" s="7"/>
      <c r="AC2014" s="7"/>
      <c r="AD2014" s="7"/>
      <c r="AE2014" s="7"/>
    </row>
    <row r="2015">
      <c r="A2015" s="7"/>
      <c r="B2015" s="21"/>
      <c r="C2015" s="21"/>
      <c r="D2015" s="21"/>
      <c r="E2015" s="21"/>
      <c r="F2015" s="21"/>
      <c r="G2015" s="21"/>
      <c r="H2015" s="21"/>
      <c r="I2015" s="21"/>
      <c r="J2015" s="21"/>
      <c r="K2015" s="21"/>
      <c r="L2015" s="21"/>
      <c r="M2015" s="7"/>
      <c r="N2015" s="7"/>
      <c r="O2015" s="7"/>
      <c r="P2015" s="7"/>
      <c r="Q2015" s="7"/>
      <c r="R2015" s="7"/>
      <c r="S2015" s="7"/>
      <c r="T2015" s="7"/>
      <c r="U2015" s="7"/>
      <c r="V2015" s="7"/>
      <c r="W2015" s="7"/>
      <c r="X2015" s="7"/>
      <c r="Y2015" s="7"/>
      <c r="Z2015" s="7"/>
      <c r="AA2015" s="7"/>
      <c r="AB2015" s="7"/>
      <c r="AC2015" s="7"/>
      <c r="AD2015" s="7"/>
      <c r="AE2015" s="7"/>
    </row>
    <row r="2016">
      <c r="A2016" s="7"/>
      <c r="B2016" s="21"/>
      <c r="C2016" s="21"/>
      <c r="D2016" s="21"/>
      <c r="E2016" s="21"/>
      <c r="F2016" s="21"/>
      <c r="G2016" s="21"/>
      <c r="H2016" s="21"/>
      <c r="I2016" s="21"/>
      <c r="J2016" s="21"/>
      <c r="K2016" s="21"/>
      <c r="L2016" s="21"/>
      <c r="M2016" s="7"/>
      <c r="N2016" s="7"/>
      <c r="O2016" s="7"/>
      <c r="P2016" s="7"/>
      <c r="Q2016" s="7"/>
      <c r="R2016" s="7"/>
      <c r="S2016" s="7"/>
      <c r="T2016" s="7"/>
      <c r="U2016" s="7"/>
      <c r="V2016" s="7"/>
      <c r="W2016" s="7"/>
      <c r="X2016" s="7"/>
      <c r="Y2016" s="7"/>
      <c r="Z2016" s="7"/>
      <c r="AA2016" s="7"/>
      <c r="AB2016" s="7"/>
      <c r="AC2016" s="7"/>
      <c r="AD2016" s="7"/>
      <c r="AE2016" s="7"/>
    </row>
    <row r="2017">
      <c r="A2017" s="7"/>
      <c r="B2017" s="21"/>
      <c r="C2017" s="21"/>
      <c r="D2017" s="21"/>
      <c r="E2017" s="21"/>
      <c r="F2017" s="21"/>
      <c r="G2017" s="21"/>
      <c r="H2017" s="21"/>
      <c r="I2017" s="21"/>
      <c r="J2017" s="21"/>
      <c r="K2017" s="21"/>
      <c r="L2017" s="21"/>
      <c r="M2017" s="7"/>
      <c r="N2017" s="7"/>
      <c r="O2017" s="7"/>
      <c r="P2017" s="7"/>
      <c r="Q2017" s="7"/>
      <c r="R2017" s="7"/>
      <c r="S2017" s="7"/>
      <c r="T2017" s="7"/>
      <c r="U2017" s="7"/>
      <c r="V2017" s="7"/>
      <c r="W2017" s="7"/>
      <c r="X2017" s="7"/>
      <c r="Y2017" s="7"/>
      <c r="Z2017" s="7"/>
      <c r="AA2017" s="7"/>
      <c r="AB2017" s="7"/>
      <c r="AC2017" s="7"/>
      <c r="AD2017" s="7"/>
      <c r="AE2017" s="7"/>
    </row>
    <row r="2018">
      <c r="A2018" s="7"/>
      <c r="B2018" s="21"/>
      <c r="C2018" s="21"/>
      <c r="D2018" s="21"/>
      <c r="E2018" s="21"/>
      <c r="F2018" s="21"/>
      <c r="G2018" s="21"/>
      <c r="H2018" s="21"/>
      <c r="I2018" s="21"/>
      <c r="J2018" s="21"/>
      <c r="K2018" s="21"/>
      <c r="L2018" s="21"/>
      <c r="M2018" s="7"/>
      <c r="N2018" s="7"/>
      <c r="O2018" s="7"/>
      <c r="P2018" s="7"/>
      <c r="Q2018" s="7"/>
      <c r="R2018" s="7"/>
      <c r="S2018" s="7"/>
      <c r="T2018" s="7"/>
      <c r="U2018" s="7"/>
      <c r="V2018" s="7"/>
      <c r="W2018" s="7"/>
      <c r="X2018" s="7"/>
      <c r="Y2018" s="7"/>
      <c r="Z2018" s="7"/>
      <c r="AA2018" s="7"/>
      <c r="AB2018" s="7"/>
      <c r="AC2018" s="7"/>
      <c r="AD2018" s="7"/>
      <c r="AE2018" s="7"/>
    </row>
    <row r="2019">
      <c r="A2019" s="7"/>
      <c r="B2019" s="21"/>
      <c r="C2019" s="21"/>
      <c r="D2019" s="21"/>
      <c r="E2019" s="21"/>
      <c r="F2019" s="21"/>
      <c r="G2019" s="21"/>
      <c r="H2019" s="21"/>
      <c r="I2019" s="21"/>
      <c r="J2019" s="21"/>
      <c r="K2019" s="21"/>
      <c r="L2019" s="21"/>
      <c r="M2019" s="7"/>
      <c r="N2019" s="7"/>
      <c r="O2019" s="7"/>
      <c r="P2019" s="7"/>
      <c r="Q2019" s="7"/>
      <c r="R2019" s="7"/>
      <c r="S2019" s="7"/>
      <c r="T2019" s="7"/>
      <c r="U2019" s="7"/>
      <c r="V2019" s="7"/>
      <c r="W2019" s="7"/>
      <c r="X2019" s="7"/>
      <c r="Y2019" s="7"/>
      <c r="Z2019" s="7"/>
      <c r="AA2019" s="7"/>
      <c r="AB2019" s="7"/>
      <c r="AC2019" s="7"/>
      <c r="AD2019" s="7"/>
      <c r="AE2019" s="7"/>
    </row>
    <row r="2020">
      <c r="A2020" s="7"/>
      <c r="B2020" s="21"/>
      <c r="C2020" s="21"/>
      <c r="D2020" s="21"/>
      <c r="E2020" s="21"/>
      <c r="F2020" s="21"/>
      <c r="G2020" s="21"/>
      <c r="H2020" s="21"/>
      <c r="I2020" s="21"/>
      <c r="J2020" s="21"/>
      <c r="K2020" s="21"/>
      <c r="L2020" s="21"/>
      <c r="M2020" s="7"/>
      <c r="N2020" s="7"/>
      <c r="O2020" s="7"/>
      <c r="P2020" s="7"/>
      <c r="Q2020" s="7"/>
      <c r="R2020" s="7"/>
      <c r="S2020" s="7"/>
      <c r="T2020" s="7"/>
      <c r="U2020" s="7"/>
      <c r="V2020" s="7"/>
      <c r="W2020" s="7"/>
      <c r="X2020" s="7"/>
      <c r="Y2020" s="7"/>
      <c r="Z2020" s="7"/>
      <c r="AA2020" s="7"/>
      <c r="AB2020" s="7"/>
      <c r="AC2020" s="7"/>
      <c r="AD2020" s="7"/>
      <c r="AE2020" s="7"/>
    </row>
    <row r="2021">
      <c r="A2021" s="7"/>
      <c r="B2021" s="21"/>
      <c r="C2021" s="21"/>
      <c r="D2021" s="21"/>
      <c r="E2021" s="21"/>
      <c r="F2021" s="21"/>
      <c r="G2021" s="21"/>
      <c r="H2021" s="21"/>
      <c r="I2021" s="21"/>
      <c r="J2021" s="21"/>
      <c r="K2021" s="21"/>
      <c r="L2021" s="21"/>
      <c r="M2021" s="7"/>
      <c r="N2021" s="7"/>
      <c r="O2021" s="7"/>
      <c r="P2021" s="7"/>
      <c r="Q2021" s="7"/>
      <c r="R2021" s="7"/>
      <c r="S2021" s="7"/>
      <c r="T2021" s="7"/>
      <c r="U2021" s="7"/>
      <c r="V2021" s="7"/>
      <c r="W2021" s="7"/>
      <c r="X2021" s="7"/>
      <c r="Y2021" s="7"/>
      <c r="Z2021" s="7"/>
      <c r="AA2021" s="7"/>
      <c r="AB2021" s="7"/>
      <c r="AC2021" s="7"/>
      <c r="AD2021" s="7"/>
      <c r="AE2021" s="7"/>
    </row>
    <row r="2022">
      <c r="A2022" s="7"/>
      <c r="B2022" s="21"/>
      <c r="C2022" s="21"/>
      <c r="D2022" s="21"/>
      <c r="E2022" s="21"/>
      <c r="F2022" s="21"/>
      <c r="G2022" s="21"/>
      <c r="H2022" s="21"/>
      <c r="I2022" s="21"/>
      <c r="J2022" s="21"/>
      <c r="K2022" s="21"/>
      <c r="L2022" s="21"/>
      <c r="M2022" s="7"/>
      <c r="N2022" s="7"/>
      <c r="O2022" s="7"/>
      <c r="P2022" s="7"/>
      <c r="Q2022" s="7"/>
      <c r="R2022" s="7"/>
      <c r="S2022" s="7"/>
      <c r="T2022" s="7"/>
      <c r="U2022" s="7"/>
      <c r="V2022" s="7"/>
      <c r="W2022" s="7"/>
      <c r="X2022" s="7"/>
      <c r="Y2022" s="7"/>
      <c r="Z2022" s="7"/>
      <c r="AA2022" s="7"/>
      <c r="AB2022" s="7"/>
      <c r="AC2022" s="7"/>
      <c r="AD2022" s="7"/>
      <c r="AE2022" s="7"/>
    </row>
    <row r="2023">
      <c r="A2023" s="7"/>
      <c r="B2023" s="21"/>
      <c r="C2023" s="21"/>
      <c r="D2023" s="21"/>
      <c r="E2023" s="21"/>
      <c r="F2023" s="21"/>
      <c r="G2023" s="21"/>
      <c r="H2023" s="21"/>
      <c r="I2023" s="21"/>
      <c r="J2023" s="21"/>
      <c r="K2023" s="21"/>
      <c r="L2023" s="21"/>
      <c r="M2023" s="7"/>
      <c r="N2023" s="7"/>
      <c r="O2023" s="7"/>
      <c r="P2023" s="7"/>
      <c r="Q2023" s="7"/>
      <c r="R2023" s="7"/>
      <c r="S2023" s="7"/>
      <c r="T2023" s="7"/>
      <c r="U2023" s="7"/>
      <c r="V2023" s="7"/>
      <c r="W2023" s="7"/>
      <c r="X2023" s="7"/>
      <c r="Y2023" s="7"/>
      <c r="Z2023" s="7"/>
      <c r="AA2023" s="7"/>
      <c r="AB2023" s="7"/>
      <c r="AC2023" s="7"/>
      <c r="AD2023" s="7"/>
      <c r="AE2023" s="7"/>
    </row>
    <row r="2024">
      <c r="A2024" s="7"/>
      <c r="B2024" s="21"/>
      <c r="C2024" s="21"/>
      <c r="D2024" s="21"/>
      <c r="E2024" s="21"/>
      <c r="F2024" s="21"/>
      <c r="G2024" s="21"/>
      <c r="H2024" s="21"/>
      <c r="I2024" s="21"/>
      <c r="J2024" s="21"/>
      <c r="K2024" s="21"/>
      <c r="L2024" s="21"/>
      <c r="M2024" s="7"/>
      <c r="N2024" s="7"/>
      <c r="O2024" s="7"/>
      <c r="P2024" s="7"/>
      <c r="Q2024" s="7"/>
      <c r="R2024" s="7"/>
      <c r="S2024" s="7"/>
      <c r="T2024" s="7"/>
      <c r="U2024" s="7"/>
      <c r="V2024" s="7"/>
      <c r="W2024" s="7"/>
      <c r="X2024" s="7"/>
      <c r="Y2024" s="7"/>
      <c r="Z2024" s="7"/>
      <c r="AA2024" s="7"/>
      <c r="AB2024" s="7"/>
      <c r="AC2024" s="7"/>
      <c r="AD2024" s="7"/>
      <c r="AE2024" s="7"/>
    </row>
    <row r="2025">
      <c r="A2025" s="7"/>
      <c r="B2025" s="21"/>
      <c r="C2025" s="21"/>
      <c r="D2025" s="21"/>
      <c r="E2025" s="21"/>
      <c r="F2025" s="21"/>
      <c r="G2025" s="21"/>
      <c r="H2025" s="21"/>
      <c r="I2025" s="21"/>
      <c r="J2025" s="21"/>
      <c r="K2025" s="21"/>
      <c r="L2025" s="21"/>
      <c r="M2025" s="7"/>
      <c r="N2025" s="7"/>
      <c r="O2025" s="7"/>
      <c r="P2025" s="7"/>
      <c r="Q2025" s="7"/>
      <c r="R2025" s="7"/>
      <c r="S2025" s="7"/>
      <c r="T2025" s="7"/>
      <c r="U2025" s="7"/>
      <c r="V2025" s="7"/>
      <c r="W2025" s="7"/>
      <c r="X2025" s="7"/>
      <c r="Y2025" s="7"/>
      <c r="Z2025" s="7"/>
      <c r="AA2025" s="7"/>
      <c r="AB2025" s="7"/>
      <c r="AC2025" s="7"/>
      <c r="AD2025" s="7"/>
      <c r="AE2025" s="7"/>
    </row>
    <row r="2026">
      <c r="A2026" s="7"/>
      <c r="B2026" s="21"/>
      <c r="C2026" s="21"/>
      <c r="D2026" s="21"/>
      <c r="E2026" s="21"/>
      <c r="F2026" s="21"/>
      <c r="G2026" s="21"/>
      <c r="H2026" s="21"/>
      <c r="I2026" s="21"/>
      <c r="J2026" s="21"/>
      <c r="K2026" s="21"/>
      <c r="L2026" s="21"/>
      <c r="M2026" s="7"/>
      <c r="N2026" s="7"/>
      <c r="O2026" s="7"/>
      <c r="P2026" s="7"/>
      <c r="Q2026" s="7"/>
      <c r="R2026" s="7"/>
      <c r="S2026" s="7"/>
      <c r="T2026" s="7"/>
      <c r="U2026" s="7"/>
      <c r="V2026" s="7"/>
      <c r="W2026" s="7"/>
      <c r="X2026" s="7"/>
      <c r="Y2026" s="7"/>
      <c r="Z2026" s="7"/>
      <c r="AA2026" s="7"/>
      <c r="AB2026" s="7"/>
      <c r="AC2026" s="7"/>
      <c r="AD2026" s="7"/>
      <c r="AE2026" s="7"/>
    </row>
    <row r="2027">
      <c r="A2027" s="7"/>
      <c r="B2027" s="21"/>
      <c r="C2027" s="21"/>
      <c r="D2027" s="21"/>
      <c r="E2027" s="21"/>
      <c r="F2027" s="21"/>
      <c r="G2027" s="21"/>
      <c r="H2027" s="21"/>
      <c r="I2027" s="21"/>
      <c r="J2027" s="21"/>
      <c r="K2027" s="21"/>
      <c r="L2027" s="21"/>
      <c r="M2027" s="7"/>
      <c r="N2027" s="7"/>
      <c r="O2027" s="7"/>
      <c r="P2027" s="7"/>
      <c r="Q2027" s="7"/>
      <c r="R2027" s="7"/>
      <c r="S2027" s="7"/>
      <c r="T2027" s="7"/>
      <c r="U2027" s="7"/>
      <c r="V2027" s="7"/>
      <c r="W2027" s="7"/>
      <c r="X2027" s="7"/>
      <c r="Y2027" s="7"/>
      <c r="Z2027" s="7"/>
      <c r="AA2027" s="7"/>
      <c r="AB2027" s="7"/>
      <c r="AC2027" s="7"/>
      <c r="AD2027" s="7"/>
      <c r="AE2027" s="7"/>
    </row>
    <row r="2028">
      <c r="A2028" s="7"/>
      <c r="B2028" s="21"/>
      <c r="C2028" s="21"/>
      <c r="D2028" s="21"/>
      <c r="E2028" s="21"/>
      <c r="F2028" s="21"/>
      <c r="G2028" s="21"/>
      <c r="H2028" s="21"/>
      <c r="I2028" s="21"/>
      <c r="J2028" s="21"/>
      <c r="K2028" s="21"/>
      <c r="L2028" s="21"/>
      <c r="M2028" s="7"/>
      <c r="N2028" s="7"/>
      <c r="O2028" s="7"/>
      <c r="P2028" s="7"/>
      <c r="Q2028" s="7"/>
      <c r="R2028" s="7"/>
      <c r="S2028" s="7"/>
      <c r="T2028" s="7"/>
      <c r="U2028" s="7"/>
      <c r="V2028" s="7"/>
      <c r="W2028" s="7"/>
      <c r="X2028" s="7"/>
      <c r="Y2028" s="7"/>
      <c r="Z2028" s="7"/>
      <c r="AA2028" s="7"/>
      <c r="AB2028" s="7"/>
      <c r="AC2028" s="7"/>
      <c r="AD2028" s="7"/>
      <c r="AE2028" s="7"/>
    </row>
    <row r="2029">
      <c r="A2029" s="7"/>
      <c r="B2029" s="21"/>
      <c r="C2029" s="21"/>
      <c r="D2029" s="21"/>
      <c r="E2029" s="21"/>
      <c r="F2029" s="21"/>
      <c r="G2029" s="21"/>
      <c r="H2029" s="21"/>
      <c r="I2029" s="21"/>
      <c r="J2029" s="21"/>
      <c r="K2029" s="21"/>
      <c r="L2029" s="21"/>
      <c r="M2029" s="7"/>
      <c r="N2029" s="7"/>
      <c r="O2029" s="7"/>
      <c r="P2029" s="7"/>
      <c r="Q2029" s="7"/>
      <c r="R2029" s="7"/>
      <c r="S2029" s="7"/>
      <c r="T2029" s="7"/>
      <c r="U2029" s="7"/>
      <c r="V2029" s="7"/>
      <c r="W2029" s="7"/>
      <c r="X2029" s="7"/>
      <c r="Y2029" s="7"/>
      <c r="Z2029" s="7"/>
      <c r="AA2029" s="7"/>
      <c r="AB2029" s="7"/>
      <c r="AC2029" s="7"/>
      <c r="AD2029" s="7"/>
      <c r="AE2029" s="7"/>
    </row>
    <row r="2030">
      <c r="A2030" s="7"/>
      <c r="B2030" s="21"/>
      <c r="C2030" s="21"/>
      <c r="D2030" s="21"/>
      <c r="E2030" s="21"/>
      <c r="F2030" s="21"/>
      <c r="G2030" s="21"/>
      <c r="H2030" s="21"/>
      <c r="I2030" s="21"/>
      <c r="J2030" s="21"/>
      <c r="K2030" s="21"/>
      <c r="L2030" s="21"/>
      <c r="M2030" s="7"/>
      <c r="N2030" s="7"/>
      <c r="O2030" s="7"/>
      <c r="P2030" s="7"/>
      <c r="Q2030" s="7"/>
      <c r="R2030" s="7"/>
      <c r="S2030" s="7"/>
      <c r="T2030" s="7"/>
      <c r="U2030" s="7"/>
      <c r="V2030" s="7"/>
      <c r="W2030" s="7"/>
      <c r="X2030" s="7"/>
      <c r="Y2030" s="7"/>
      <c r="Z2030" s="7"/>
      <c r="AA2030" s="7"/>
      <c r="AB2030" s="7"/>
      <c r="AC2030" s="7"/>
      <c r="AD2030" s="7"/>
      <c r="AE2030" s="7"/>
    </row>
    <row r="2031">
      <c r="A2031" s="7"/>
      <c r="B2031" s="21"/>
      <c r="C2031" s="21"/>
      <c r="D2031" s="21"/>
      <c r="E2031" s="21"/>
      <c r="F2031" s="21"/>
      <c r="G2031" s="21"/>
      <c r="H2031" s="21"/>
      <c r="I2031" s="21"/>
      <c r="J2031" s="21"/>
      <c r="K2031" s="21"/>
      <c r="L2031" s="21"/>
      <c r="M2031" s="7"/>
      <c r="N2031" s="7"/>
      <c r="O2031" s="7"/>
      <c r="P2031" s="7"/>
      <c r="Q2031" s="7"/>
      <c r="R2031" s="7"/>
      <c r="S2031" s="7"/>
      <c r="T2031" s="7"/>
      <c r="U2031" s="7"/>
      <c r="V2031" s="7"/>
      <c r="W2031" s="7"/>
      <c r="X2031" s="7"/>
      <c r="Y2031" s="7"/>
      <c r="Z2031" s="7"/>
      <c r="AA2031" s="7"/>
      <c r="AB2031" s="7"/>
      <c r="AC2031" s="7"/>
      <c r="AD2031" s="7"/>
      <c r="AE2031" s="7"/>
    </row>
    <row r="2032">
      <c r="A2032" s="7"/>
      <c r="B2032" s="21"/>
      <c r="C2032" s="21"/>
      <c r="D2032" s="21"/>
      <c r="E2032" s="21"/>
      <c r="F2032" s="21"/>
      <c r="G2032" s="21"/>
      <c r="H2032" s="21"/>
      <c r="I2032" s="21"/>
      <c r="J2032" s="21"/>
      <c r="K2032" s="21"/>
      <c r="L2032" s="21"/>
      <c r="M2032" s="7"/>
      <c r="N2032" s="7"/>
      <c r="O2032" s="7"/>
      <c r="P2032" s="7"/>
      <c r="Q2032" s="7"/>
      <c r="R2032" s="7"/>
      <c r="S2032" s="7"/>
      <c r="T2032" s="7"/>
      <c r="U2032" s="7"/>
      <c r="V2032" s="7"/>
      <c r="W2032" s="7"/>
      <c r="X2032" s="7"/>
      <c r="Y2032" s="7"/>
      <c r="Z2032" s="7"/>
      <c r="AA2032" s="7"/>
      <c r="AB2032" s="7"/>
      <c r="AC2032" s="7"/>
      <c r="AD2032" s="7"/>
      <c r="AE2032" s="7"/>
    </row>
    <row r="2033">
      <c r="A2033" s="7"/>
      <c r="B2033" s="21"/>
      <c r="C2033" s="21"/>
      <c r="D2033" s="21"/>
      <c r="E2033" s="21"/>
      <c r="F2033" s="21"/>
      <c r="G2033" s="21"/>
      <c r="H2033" s="21"/>
      <c r="I2033" s="21"/>
      <c r="J2033" s="21"/>
      <c r="K2033" s="21"/>
      <c r="L2033" s="21"/>
      <c r="M2033" s="7"/>
      <c r="N2033" s="7"/>
      <c r="O2033" s="7"/>
      <c r="P2033" s="7"/>
      <c r="Q2033" s="7"/>
      <c r="R2033" s="7"/>
      <c r="S2033" s="7"/>
      <c r="T2033" s="7"/>
      <c r="U2033" s="7"/>
      <c r="V2033" s="7"/>
      <c r="W2033" s="7"/>
      <c r="X2033" s="7"/>
      <c r="Y2033" s="7"/>
      <c r="Z2033" s="7"/>
      <c r="AA2033" s="7"/>
      <c r="AB2033" s="7"/>
      <c r="AC2033" s="7"/>
      <c r="AD2033" s="7"/>
      <c r="AE2033" s="7"/>
    </row>
    <row r="2034">
      <c r="A2034" s="7"/>
      <c r="B2034" s="21"/>
      <c r="C2034" s="21"/>
      <c r="D2034" s="21"/>
      <c r="E2034" s="21"/>
      <c r="F2034" s="21"/>
      <c r="G2034" s="21"/>
      <c r="H2034" s="21"/>
      <c r="I2034" s="21"/>
      <c r="J2034" s="21"/>
      <c r="K2034" s="21"/>
      <c r="L2034" s="21"/>
      <c r="M2034" s="7"/>
      <c r="N2034" s="7"/>
      <c r="O2034" s="7"/>
      <c r="P2034" s="7"/>
      <c r="Q2034" s="7"/>
      <c r="R2034" s="7"/>
      <c r="S2034" s="7"/>
      <c r="T2034" s="7"/>
      <c r="U2034" s="7"/>
      <c r="V2034" s="7"/>
      <c r="W2034" s="7"/>
      <c r="X2034" s="7"/>
      <c r="Y2034" s="7"/>
      <c r="Z2034" s="7"/>
      <c r="AA2034" s="7"/>
      <c r="AB2034" s="7"/>
      <c r="AC2034" s="7"/>
      <c r="AD2034" s="7"/>
      <c r="AE2034" s="7"/>
    </row>
    <row r="2035">
      <c r="A2035" s="7"/>
      <c r="B2035" s="21"/>
      <c r="C2035" s="21"/>
      <c r="D2035" s="21"/>
      <c r="E2035" s="21"/>
      <c r="F2035" s="21"/>
      <c r="G2035" s="21"/>
      <c r="H2035" s="21"/>
      <c r="I2035" s="21"/>
      <c r="J2035" s="21"/>
      <c r="K2035" s="21"/>
      <c r="L2035" s="21"/>
      <c r="M2035" s="7"/>
      <c r="N2035" s="7"/>
      <c r="O2035" s="7"/>
      <c r="P2035" s="7"/>
      <c r="Q2035" s="7"/>
      <c r="R2035" s="7"/>
      <c r="S2035" s="7"/>
      <c r="T2035" s="7"/>
      <c r="U2035" s="7"/>
      <c r="V2035" s="7"/>
      <c r="W2035" s="7"/>
      <c r="X2035" s="7"/>
      <c r="Y2035" s="7"/>
      <c r="Z2035" s="7"/>
      <c r="AA2035" s="7"/>
      <c r="AB2035" s="7"/>
      <c r="AC2035" s="7"/>
      <c r="AD2035" s="7"/>
      <c r="AE2035" s="7"/>
    </row>
    <row r="2036">
      <c r="A2036" s="7"/>
      <c r="B2036" s="21"/>
      <c r="C2036" s="21"/>
      <c r="D2036" s="21"/>
      <c r="E2036" s="21"/>
      <c r="F2036" s="21"/>
      <c r="G2036" s="21"/>
      <c r="H2036" s="21"/>
      <c r="I2036" s="21"/>
      <c r="J2036" s="21"/>
      <c r="K2036" s="21"/>
      <c r="L2036" s="21"/>
      <c r="M2036" s="7"/>
      <c r="N2036" s="7"/>
      <c r="O2036" s="7"/>
      <c r="P2036" s="7"/>
      <c r="Q2036" s="7"/>
      <c r="R2036" s="7"/>
      <c r="S2036" s="7"/>
      <c r="T2036" s="7"/>
      <c r="U2036" s="7"/>
      <c r="V2036" s="7"/>
      <c r="W2036" s="7"/>
      <c r="X2036" s="7"/>
      <c r="Y2036" s="7"/>
      <c r="Z2036" s="7"/>
      <c r="AA2036" s="7"/>
      <c r="AB2036" s="7"/>
      <c r="AC2036" s="7"/>
      <c r="AD2036" s="7"/>
      <c r="AE2036" s="7"/>
    </row>
    <row r="2037">
      <c r="A2037" s="7"/>
      <c r="B2037" s="21"/>
      <c r="C2037" s="21"/>
      <c r="D2037" s="21"/>
      <c r="E2037" s="21"/>
      <c r="F2037" s="21"/>
      <c r="G2037" s="21"/>
      <c r="H2037" s="21"/>
      <c r="I2037" s="21"/>
      <c r="J2037" s="21"/>
      <c r="K2037" s="21"/>
      <c r="L2037" s="21"/>
      <c r="M2037" s="7"/>
      <c r="N2037" s="7"/>
      <c r="O2037" s="7"/>
      <c r="P2037" s="7"/>
      <c r="Q2037" s="7"/>
      <c r="R2037" s="7"/>
      <c r="S2037" s="7"/>
      <c r="T2037" s="7"/>
      <c r="U2037" s="7"/>
      <c r="V2037" s="7"/>
      <c r="W2037" s="7"/>
      <c r="X2037" s="7"/>
      <c r="Y2037" s="7"/>
      <c r="Z2037" s="7"/>
      <c r="AA2037" s="7"/>
      <c r="AB2037" s="7"/>
      <c r="AC2037" s="7"/>
      <c r="AD2037" s="7"/>
      <c r="AE2037" s="7"/>
    </row>
    <row r="2038">
      <c r="A2038" s="7"/>
      <c r="B2038" s="21"/>
      <c r="C2038" s="21"/>
      <c r="D2038" s="21"/>
      <c r="E2038" s="21"/>
      <c r="F2038" s="21"/>
      <c r="G2038" s="21"/>
      <c r="H2038" s="21"/>
      <c r="I2038" s="21"/>
      <c r="J2038" s="21"/>
      <c r="K2038" s="21"/>
      <c r="L2038" s="21"/>
      <c r="M2038" s="7"/>
      <c r="N2038" s="7"/>
      <c r="O2038" s="7"/>
      <c r="P2038" s="7"/>
      <c r="Q2038" s="7"/>
      <c r="R2038" s="7"/>
      <c r="S2038" s="7"/>
      <c r="T2038" s="7"/>
      <c r="U2038" s="7"/>
      <c r="V2038" s="7"/>
      <c r="W2038" s="7"/>
      <c r="X2038" s="7"/>
      <c r="Y2038" s="7"/>
      <c r="Z2038" s="7"/>
      <c r="AA2038" s="7"/>
      <c r="AB2038" s="7"/>
      <c r="AC2038" s="7"/>
      <c r="AD2038" s="7"/>
      <c r="AE2038" s="7"/>
    </row>
    <row r="2039">
      <c r="A2039" s="7"/>
      <c r="B2039" s="21"/>
      <c r="C2039" s="21"/>
      <c r="D2039" s="21"/>
      <c r="E2039" s="21"/>
      <c r="F2039" s="21"/>
      <c r="G2039" s="21"/>
      <c r="H2039" s="21"/>
      <c r="I2039" s="21"/>
      <c r="J2039" s="21"/>
      <c r="K2039" s="21"/>
      <c r="L2039" s="21"/>
      <c r="M2039" s="7"/>
      <c r="N2039" s="7"/>
      <c r="O2039" s="7"/>
      <c r="P2039" s="7"/>
      <c r="Q2039" s="7"/>
      <c r="R2039" s="7"/>
      <c r="S2039" s="7"/>
      <c r="T2039" s="7"/>
      <c r="U2039" s="7"/>
      <c r="V2039" s="7"/>
      <c r="W2039" s="7"/>
      <c r="X2039" s="7"/>
      <c r="Y2039" s="7"/>
      <c r="Z2039" s="7"/>
      <c r="AA2039" s="7"/>
      <c r="AB2039" s="7"/>
      <c r="AC2039" s="7"/>
      <c r="AD2039" s="7"/>
      <c r="AE2039" s="7"/>
    </row>
    <row r="2040">
      <c r="A2040" s="7"/>
      <c r="B2040" s="21"/>
      <c r="C2040" s="21"/>
      <c r="D2040" s="21"/>
      <c r="E2040" s="21"/>
      <c r="F2040" s="21"/>
      <c r="G2040" s="21"/>
      <c r="H2040" s="21"/>
      <c r="I2040" s="21"/>
      <c r="J2040" s="21"/>
      <c r="K2040" s="21"/>
      <c r="L2040" s="21"/>
      <c r="M2040" s="7"/>
      <c r="N2040" s="7"/>
      <c r="O2040" s="7"/>
      <c r="P2040" s="7"/>
      <c r="Q2040" s="7"/>
      <c r="R2040" s="7"/>
      <c r="S2040" s="7"/>
      <c r="T2040" s="7"/>
      <c r="U2040" s="7"/>
      <c r="V2040" s="7"/>
      <c r="W2040" s="7"/>
      <c r="X2040" s="7"/>
      <c r="Y2040" s="7"/>
      <c r="Z2040" s="7"/>
      <c r="AA2040" s="7"/>
      <c r="AB2040" s="7"/>
      <c r="AC2040" s="7"/>
      <c r="AD2040" s="7"/>
      <c r="AE2040" s="7"/>
    </row>
    <row r="2041">
      <c r="A2041" s="7"/>
      <c r="B2041" s="21"/>
      <c r="C2041" s="21"/>
      <c r="D2041" s="21"/>
      <c r="E2041" s="21"/>
      <c r="F2041" s="21"/>
      <c r="G2041" s="21"/>
      <c r="H2041" s="21"/>
      <c r="I2041" s="21"/>
      <c r="J2041" s="21"/>
      <c r="K2041" s="21"/>
      <c r="L2041" s="21"/>
      <c r="M2041" s="7"/>
      <c r="N2041" s="7"/>
      <c r="O2041" s="7"/>
      <c r="P2041" s="7"/>
      <c r="Q2041" s="7"/>
      <c r="R2041" s="7"/>
      <c r="S2041" s="7"/>
      <c r="T2041" s="7"/>
      <c r="U2041" s="7"/>
      <c r="V2041" s="7"/>
      <c r="W2041" s="7"/>
      <c r="X2041" s="7"/>
      <c r="Y2041" s="7"/>
      <c r="Z2041" s="7"/>
      <c r="AA2041" s="7"/>
      <c r="AB2041" s="7"/>
      <c r="AC2041" s="7"/>
      <c r="AD2041" s="7"/>
      <c r="AE2041" s="7"/>
    </row>
    <row r="2042">
      <c r="A2042" s="7"/>
      <c r="B2042" s="21"/>
      <c r="C2042" s="21"/>
      <c r="D2042" s="21"/>
      <c r="E2042" s="21"/>
      <c r="F2042" s="21"/>
      <c r="G2042" s="21"/>
      <c r="H2042" s="21"/>
      <c r="I2042" s="21"/>
      <c r="J2042" s="21"/>
      <c r="K2042" s="21"/>
      <c r="L2042" s="21"/>
      <c r="M2042" s="7"/>
      <c r="N2042" s="7"/>
      <c r="O2042" s="7"/>
      <c r="P2042" s="7"/>
      <c r="Q2042" s="7"/>
      <c r="R2042" s="7"/>
      <c r="S2042" s="7"/>
      <c r="T2042" s="7"/>
      <c r="U2042" s="7"/>
      <c r="V2042" s="7"/>
      <c r="W2042" s="7"/>
      <c r="X2042" s="7"/>
      <c r="Y2042" s="7"/>
      <c r="Z2042" s="7"/>
      <c r="AA2042" s="7"/>
      <c r="AB2042" s="7"/>
      <c r="AC2042" s="7"/>
      <c r="AD2042" s="7"/>
      <c r="AE2042" s="7"/>
    </row>
    <row r="2043">
      <c r="A2043" s="7"/>
      <c r="B2043" s="21"/>
      <c r="C2043" s="21"/>
      <c r="D2043" s="21"/>
      <c r="E2043" s="21"/>
      <c r="F2043" s="21"/>
      <c r="G2043" s="21"/>
      <c r="H2043" s="21"/>
      <c r="I2043" s="21"/>
      <c r="J2043" s="21"/>
      <c r="K2043" s="21"/>
      <c r="L2043" s="21"/>
      <c r="M2043" s="7"/>
      <c r="N2043" s="7"/>
      <c r="O2043" s="7"/>
      <c r="P2043" s="7"/>
      <c r="Q2043" s="7"/>
      <c r="R2043" s="7"/>
      <c r="S2043" s="7"/>
      <c r="T2043" s="7"/>
      <c r="U2043" s="7"/>
      <c r="V2043" s="7"/>
      <c r="W2043" s="7"/>
      <c r="X2043" s="7"/>
      <c r="Y2043" s="7"/>
      <c r="Z2043" s="7"/>
      <c r="AA2043" s="7"/>
      <c r="AB2043" s="7"/>
      <c r="AC2043" s="7"/>
      <c r="AD2043" s="7"/>
      <c r="AE2043" s="7"/>
    </row>
    <row r="2044">
      <c r="A2044" s="7"/>
      <c r="B2044" s="21"/>
      <c r="C2044" s="21"/>
      <c r="D2044" s="21"/>
      <c r="E2044" s="21"/>
      <c r="F2044" s="21"/>
      <c r="G2044" s="21"/>
      <c r="H2044" s="21"/>
      <c r="I2044" s="21"/>
      <c r="J2044" s="21"/>
      <c r="K2044" s="21"/>
      <c r="L2044" s="21"/>
      <c r="M2044" s="7"/>
      <c r="N2044" s="7"/>
      <c r="O2044" s="7"/>
      <c r="P2044" s="7"/>
      <c r="Q2044" s="7"/>
      <c r="R2044" s="7"/>
      <c r="S2044" s="7"/>
      <c r="T2044" s="7"/>
      <c r="U2044" s="7"/>
      <c r="V2044" s="7"/>
      <c r="W2044" s="7"/>
      <c r="X2044" s="7"/>
      <c r="Y2044" s="7"/>
      <c r="Z2044" s="7"/>
      <c r="AA2044" s="7"/>
      <c r="AB2044" s="7"/>
      <c r="AC2044" s="7"/>
      <c r="AD2044" s="7"/>
      <c r="AE2044" s="7"/>
    </row>
    <row r="2045">
      <c r="A2045" s="7"/>
      <c r="B2045" s="21"/>
      <c r="C2045" s="21"/>
      <c r="D2045" s="21"/>
      <c r="E2045" s="21"/>
      <c r="F2045" s="21"/>
      <c r="G2045" s="21"/>
      <c r="H2045" s="21"/>
      <c r="I2045" s="21"/>
      <c r="J2045" s="21"/>
      <c r="K2045" s="21"/>
      <c r="L2045" s="21"/>
      <c r="M2045" s="7"/>
      <c r="N2045" s="7"/>
      <c r="O2045" s="7"/>
      <c r="P2045" s="7"/>
      <c r="Q2045" s="7"/>
      <c r="R2045" s="7"/>
      <c r="S2045" s="7"/>
      <c r="T2045" s="7"/>
      <c r="U2045" s="7"/>
      <c r="V2045" s="7"/>
      <c r="W2045" s="7"/>
      <c r="X2045" s="7"/>
      <c r="Y2045" s="7"/>
      <c r="Z2045" s="7"/>
      <c r="AA2045" s="7"/>
      <c r="AB2045" s="7"/>
      <c r="AC2045" s="7"/>
      <c r="AD2045" s="7"/>
      <c r="AE2045" s="7"/>
    </row>
    <row r="2046">
      <c r="A2046" s="7"/>
      <c r="B2046" s="21"/>
      <c r="C2046" s="21"/>
      <c r="D2046" s="21"/>
      <c r="E2046" s="21"/>
      <c r="F2046" s="21"/>
      <c r="G2046" s="21"/>
      <c r="H2046" s="21"/>
      <c r="I2046" s="21"/>
      <c r="J2046" s="21"/>
      <c r="K2046" s="21"/>
      <c r="L2046" s="21"/>
      <c r="M2046" s="7"/>
      <c r="N2046" s="7"/>
      <c r="O2046" s="7"/>
      <c r="P2046" s="7"/>
      <c r="Q2046" s="7"/>
      <c r="R2046" s="7"/>
      <c r="S2046" s="7"/>
      <c r="T2046" s="7"/>
      <c r="U2046" s="7"/>
      <c r="V2046" s="7"/>
      <c r="W2046" s="7"/>
      <c r="X2046" s="7"/>
      <c r="Y2046" s="7"/>
      <c r="Z2046" s="7"/>
      <c r="AA2046" s="7"/>
      <c r="AB2046" s="7"/>
      <c r="AC2046" s="7"/>
      <c r="AD2046" s="7"/>
      <c r="AE2046" s="7"/>
    </row>
    <row r="2047">
      <c r="A2047" s="7"/>
      <c r="B2047" s="21"/>
      <c r="C2047" s="21"/>
      <c r="D2047" s="21"/>
      <c r="E2047" s="21"/>
      <c r="F2047" s="21"/>
      <c r="G2047" s="21"/>
      <c r="H2047" s="21"/>
      <c r="I2047" s="21"/>
      <c r="J2047" s="21"/>
      <c r="K2047" s="21"/>
      <c r="L2047" s="21"/>
      <c r="M2047" s="7"/>
      <c r="N2047" s="7"/>
      <c r="O2047" s="7"/>
      <c r="P2047" s="7"/>
      <c r="Q2047" s="7"/>
      <c r="R2047" s="7"/>
      <c r="S2047" s="7"/>
      <c r="T2047" s="7"/>
      <c r="U2047" s="7"/>
      <c r="V2047" s="7"/>
      <c r="W2047" s="7"/>
      <c r="X2047" s="7"/>
      <c r="Y2047" s="7"/>
      <c r="Z2047" s="7"/>
      <c r="AA2047" s="7"/>
      <c r="AB2047" s="7"/>
      <c r="AC2047" s="7"/>
      <c r="AD2047" s="7"/>
      <c r="AE2047" s="7"/>
    </row>
    <row r="2048">
      <c r="A2048" s="7"/>
      <c r="B2048" s="21"/>
      <c r="C2048" s="21"/>
      <c r="D2048" s="21"/>
      <c r="E2048" s="21"/>
      <c r="F2048" s="21"/>
      <c r="G2048" s="21"/>
      <c r="H2048" s="21"/>
      <c r="I2048" s="21"/>
      <c r="J2048" s="21"/>
      <c r="K2048" s="21"/>
      <c r="L2048" s="21"/>
      <c r="M2048" s="7"/>
      <c r="N2048" s="7"/>
      <c r="O2048" s="7"/>
      <c r="P2048" s="7"/>
      <c r="Q2048" s="7"/>
      <c r="R2048" s="7"/>
      <c r="S2048" s="7"/>
      <c r="T2048" s="7"/>
      <c r="U2048" s="7"/>
      <c r="V2048" s="7"/>
      <c r="W2048" s="7"/>
      <c r="X2048" s="7"/>
      <c r="Y2048" s="7"/>
      <c r="Z2048" s="7"/>
      <c r="AA2048" s="7"/>
      <c r="AB2048" s="7"/>
      <c r="AC2048" s="7"/>
      <c r="AD2048" s="7"/>
      <c r="AE2048" s="7"/>
    </row>
    <row r="2049">
      <c r="A2049" s="7"/>
      <c r="B2049" s="21"/>
      <c r="C2049" s="21"/>
      <c r="D2049" s="21"/>
      <c r="E2049" s="21"/>
      <c r="F2049" s="21"/>
      <c r="G2049" s="21"/>
      <c r="H2049" s="21"/>
      <c r="I2049" s="21"/>
      <c r="J2049" s="21"/>
      <c r="K2049" s="21"/>
      <c r="L2049" s="21"/>
      <c r="M2049" s="7"/>
      <c r="N2049" s="7"/>
      <c r="O2049" s="7"/>
      <c r="P2049" s="7"/>
      <c r="Q2049" s="7"/>
      <c r="R2049" s="7"/>
      <c r="S2049" s="7"/>
      <c r="T2049" s="7"/>
      <c r="U2049" s="7"/>
      <c r="V2049" s="7"/>
      <c r="W2049" s="7"/>
      <c r="X2049" s="7"/>
      <c r="Y2049" s="7"/>
      <c r="Z2049" s="7"/>
      <c r="AA2049" s="7"/>
      <c r="AB2049" s="7"/>
      <c r="AC2049" s="7"/>
      <c r="AD2049" s="7"/>
      <c r="AE2049" s="7"/>
    </row>
    <row r="2050">
      <c r="A2050" s="7"/>
      <c r="B2050" s="21"/>
      <c r="C2050" s="21"/>
      <c r="D2050" s="21"/>
      <c r="E2050" s="21"/>
      <c r="F2050" s="21"/>
      <c r="G2050" s="21"/>
      <c r="H2050" s="21"/>
      <c r="I2050" s="21"/>
      <c r="J2050" s="21"/>
      <c r="K2050" s="21"/>
      <c r="L2050" s="21"/>
      <c r="M2050" s="7"/>
      <c r="N2050" s="7"/>
      <c r="O2050" s="7"/>
      <c r="P2050" s="7"/>
      <c r="Q2050" s="7"/>
      <c r="R2050" s="7"/>
      <c r="S2050" s="7"/>
      <c r="T2050" s="7"/>
      <c r="U2050" s="7"/>
      <c r="V2050" s="7"/>
      <c r="W2050" s="7"/>
      <c r="X2050" s="7"/>
      <c r="Y2050" s="7"/>
      <c r="Z2050" s="7"/>
      <c r="AA2050" s="7"/>
      <c r="AB2050" s="7"/>
      <c r="AC2050" s="7"/>
      <c r="AD2050" s="7"/>
      <c r="AE2050" s="7"/>
    </row>
    <row r="2051">
      <c r="A2051" s="7"/>
      <c r="B2051" s="21"/>
      <c r="C2051" s="21"/>
      <c r="D2051" s="21"/>
      <c r="E2051" s="21"/>
      <c r="F2051" s="21"/>
      <c r="G2051" s="21"/>
      <c r="H2051" s="21"/>
      <c r="I2051" s="21"/>
      <c r="J2051" s="21"/>
      <c r="K2051" s="21"/>
      <c r="L2051" s="21"/>
      <c r="M2051" s="7"/>
      <c r="N2051" s="7"/>
      <c r="O2051" s="7"/>
      <c r="P2051" s="7"/>
      <c r="Q2051" s="7"/>
      <c r="R2051" s="7"/>
      <c r="S2051" s="7"/>
      <c r="T2051" s="7"/>
      <c r="U2051" s="7"/>
      <c r="V2051" s="7"/>
      <c r="W2051" s="7"/>
      <c r="X2051" s="7"/>
      <c r="Y2051" s="7"/>
      <c r="Z2051" s="7"/>
      <c r="AA2051" s="7"/>
      <c r="AB2051" s="7"/>
      <c r="AC2051" s="7"/>
      <c r="AD2051" s="7"/>
      <c r="AE2051" s="7"/>
    </row>
    <row r="2052">
      <c r="A2052" s="7"/>
      <c r="B2052" s="21"/>
      <c r="C2052" s="21"/>
      <c r="D2052" s="21"/>
      <c r="E2052" s="21"/>
      <c r="F2052" s="21"/>
      <c r="G2052" s="21"/>
      <c r="H2052" s="21"/>
      <c r="I2052" s="21"/>
      <c r="J2052" s="21"/>
      <c r="K2052" s="21"/>
      <c r="L2052" s="21"/>
      <c r="M2052" s="7"/>
      <c r="N2052" s="7"/>
      <c r="O2052" s="7"/>
      <c r="P2052" s="7"/>
      <c r="Q2052" s="7"/>
      <c r="R2052" s="7"/>
      <c r="S2052" s="7"/>
      <c r="T2052" s="7"/>
      <c r="U2052" s="7"/>
      <c r="V2052" s="7"/>
      <c r="W2052" s="7"/>
      <c r="X2052" s="7"/>
      <c r="Y2052" s="7"/>
      <c r="Z2052" s="7"/>
      <c r="AA2052" s="7"/>
      <c r="AB2052" s="7"/>
      <c r="AC2052" s="7"/>
      <c r="AD2052" s="7"/>
      <c r="AE2052" s="7"/>
    </row>
    <row r="2053">
      <c r="A2053" s="7"/>
      <c r="B2053" s="21"/>
      <c r="C2053" s="21"/>
      <c r="D2053" s="21"/>
      <c r="E2053" s="21"/>
      <c r="F2053" s="21"/>
      <c r="G2053" s="21"/>
      <c r="H2053" s="21"/>
      <c r="I2053" s="21"/>
      <c r="J2053" s="21"/>
      <c r="K2053" s="21"/>
      <c r="L2053" s="21"/>
      <c r="M2053" s="7"/>
      <c r="N2053" s="7"/>
      <c r="O2053" s="7"/>
      <c r="P2053" s="7"/>
      <c r="Q2053" s="7"/>
      <c r="R2053" s="7"/>
      <c r="S2053" s="7"/>
      <c r="T2053" s="7"/>
      <c r="U2053" s="7"/>
      <c r="V2053" s="7"/>
      <c r="W2053" s="7"/>
      <c r="X2053" s="7"/>
      <c r="Y2053" s="7"/>
      <c r="Z2053" s="7"/>
      <c r="AA2053" s="7"/>
      <c r="AB2053" s="7"/>
      <c r="AC2053" s="7"/>
      <c r="AD2053" s="7"/>
      <c r="AE2053" s="7"/>
    </row>
    <row r="2054">
      <c r="A2054" s="7"/>
      <c r="B2054" s="21"/>
      <c r="C2054" s="21"/>
      <c r="D2054" s="21"/>
      <c r="E2054" s="21"/>
      <c r="F2054" s="21"/>
      <c r="G2054" s="21"/>
      <c r="H2054" s="21"/>
      <c r="I2054" s="21"/>
      <c r="J2054" s="21"/>
      <c r="K2054" s="21"/>
      <c r="L2054" s="21"/>
      <c r="M2054" s="7"/>
      <c r="N2054" s="7"/>
      <c r="O2054" s="7"/>
      <c r="P2054" s="7"/>
      <c r="Q2054" s="7"/>
      <c r="R2054" s="7"/>
      <c r="S2054" s="7"/>
      <c r="T2054" s="7"/>
      <c r="U2054" s="7"/>
      <c r="V2054" s="7"/>
      <c r="W2054" s="7"/>
      <c r="X2054" s="7"/>
      <c r="Y2054" s="7"/>
      <c r="Z2054" s="7"/>
      <c r="AA2054" s="7"/>
      <c r="AB2054" s="7"/>
      <c r="AC2054" s="7"/>
      <c r="AD2054" s="7"/>
      <c r="AE2054" s="7"/>
    </row>
    <row r="2055">
      <c r="A2055" s="7"/>
      <c r="B2055" s="21"/>
      <c r="C2055" s="21"/>
      <c r="D2055" s="21"/>
      <c r="E2055" s="21"/>
      <c r="F2055" s="21"/>
      <c r="G2055" s="21"/>
      <c r="H2055" s="21"/>
      <c r="I2055" s="21"/>
      <c r="J2055" s="21"/>
      <c r="K2055" s="21"/>
      <c r="L2055" s="21"/>
      <c r="M2055" s="7"/>
      <c r="N2055" s="7"/>
      <c r="O2055" s="7"/>
      <c r="P2055" s="7"/>
      <c r="Q2055" s="7"/>
      <c r="R2055" s="7"/>
      <c r="S2055" s="7"/>
      <c r="T2055" s="7"/>
      <c r="U2055" s="7"/>
      <c r="V2055" s="7"/>
      <c r="W2055" s="7"/>
      <c r="X2055" s="7"/>
      <c r="Y2055" s="7"/>
      <c r="Z2055" s="7"/>
      <c r="AA2055" s="7"/>
      <c r="AB2055" s="7"/>
      <c r="AC2055" s="7"/>
      <c r="AD2055" s="7"/>
      <c r="AE2055" s="7"/>
    </row>
    <row r="2056">
      <c r="A2056" s="7"/>
      <c r="B2056" s="21"/>
      <c r="C2056" s="21"/>
      <c r="D2056" s="21"/>
      <c r="E2056" s="21"/>
      <c r="F2056" s="21"/>
      <c r="G2056" s="21"/>
      <c r="H2056" s="21"/>
      <c r="I2056" s="21"/>
      <c r="J2056" s="21"/>
      <c r="K2056" s="21"/>
      <c r="L2056" s="21"/>
      <c r="M2056" s="7"/>
      <c r="N2056" s="7"/>
      <c r="O2056" s="7"/>
      <c r="P2056" s="7"/>
      <c r="Q2056" s="7"/>
      <c r="R2056" s="7"/>
      <c r="S2056" s="7"/>
      <c r="T2056" s="7"/>
      <c r="U2056" s="7"/>
      <c r="V2056" s="7"/>
      <c r="W2056" s="7"/>
      <c r="X2056" s="7"/>
      <c r="Y2056" s="7"/>
      <c r="Z2056" s="7"/>
      <c r="AA2056" s="7"/>
      <c r="AB2056" s="7"/>
      <c r="AC2056" s="7"/>
      <c r="AD2056" s="7"/>
      <c r="AE2056" s="7"/>
    </row>
    <row r="2057">
      <c r="A2057" s="7"/>
      <c r="B2057" s="21"/>
      <c r="C2057" s="21"/>
      <c r="D2057" s="21"/>
      <c r="E2057" s="21"/>
      <c r="F2057" s="21"/>
      <c r="G2057" s="21"/>
      <c r="H2057" s="21"/>
      <c r="I2057" s="21"/>
      <c r="J2057" s="21"/>
      <c r="K2057" s="21"/>
      <c r="L2057" s="21"/>
      <c r="M2057" s="7"/>
      <c r="N2057" s="7"/>
      <c r="O2057" s="7"/>
      <c r="P2057" s="7"/>
      <c r="Q2057" s="7"/>
      <c r="R2057" s="7"/>
      <c r="S2057" s="7"/>
      <c r="T2057" s="7"/>
      <c r="U2057" s="7"/>
      <c r="V2057" s="7"/>
      <c r="W2057" s="7"/>
      <c r="X2057" s="7"/>
      <c r="Y2057" s="7"/>
      <c r="Z2057" s="7"/>
      <c r="AA2057" s="7"/>
      <c r="AB2057" s="7"/>
      <c r="AC2057" s="7"/>
      <c r="AD2057" s="7"/>
      <c r="AE2057" s="7"/>
    </row>
    <row r="2058">
      <c r="A2058" s="7"/>
      <c r="B2058" s="21"/>
      <c r="C2058" s="21"/>
      <c r="D2058" s="21"/>
      <c r="E2058" s="21"/>
      <c r="F2058" s="21"/>
      <c r="G2058" s="21"/>
      <c r="H2058" s="21"/>
      <c r="I2058" s="21"/>
      <c r="J2058" s="21"/>
      <c r="K2058" s="21"/>
      <c r="L2058" s="21"/>
      <c r="M2058" s="7"/>
      <c r="N2058" s="7"/>
      <c r="O2058" s="7"/>
      <c r="P2058" s="7"/>
      <c r="Q2058" s="7"/>
      <c r="R2058" s="7"/>
      <c r="S2058" s="7"/>
      <c r="T2058" s="7"/>
      <c r="U2058" s="7"/>
      <c r="V2058" s="7"/>
      <c r="W2058" s="7"/>
      <c r="X2058" s="7"/>
      <c r="Y2058" s="7"/>
      <c r="Z2058" s="7"/>
      <c r="AA2058" s="7"/>
      <c r="AB2058" s="7"/>
      <c r="AC2058" s="7"/>
      <c r="AD2058" s="7"/>
      <c r="AE2058" s="7"/>
    </row>
    <row r="2059">
      <c r="A2059" s="7"/>
      <c r="B2059" s="21"/>
      <c r="C2059" s="21"/>
      <c r="D2059" s="21"/>
      <c r="E2059" s="21"/>
      <c r="F2059" s="21"/>
      <c r="G2059" s="21"/>
      <c r="H2059" s="21"/>
      <c r="I2059" s="21"/>
      <c r="J2059" s="21"/>
      <c r="K2059" s="21"/>
      <c r="L2059" s="21"/>
      <c r="M2059" s="7"/>
      <c r="N2059" s="7"/>
      <c r="O2059" s="7"/>
      <c r="P2059" s="7"/>
      <c r="Q2059" s="7"/>
      <c r="R2059" s="7"/>
      <c r="S2059" s="7"/>
      <c r="T2059" s="7"/>
      <c r="U2059" s="7"/>
      <c r="V2059" s="7"/>
      <c r="W2059" s="7"/>
      <c r="X2059" s="7"/>
      <c r="Y2059" s="7"/>
      <c r="Z2059" s="7"/>
      <c r="AA2059" s="7"/>
      <c r="AB2059" s="7"/>
      <c r="AC2059" s="7"/>
      <c r="AD2059" s="7"/>
      <c r="AE2059" s="7"/>
    </row>
    <row r="2060">
      <c r="A2060" s="7"/>
      <c r="B2060" s="21"/>
      <c r="C2060" s="21"/>
      <c r="D2060" s="21"/>
      <c r="E2060" s="21"/>
      <c r="F2060" s="21"/>
      <c r="G2060" s="21"/>
      <c r="H2060" s="21"/>
      <c r="I2060" s="21"/>
      <c r="J2060" s="21"/>
      <c r="K2060" s="21"/>
      <c r="L2060" s="21"/>
      <c r="M2060" s="7"/>
      <c r="N2060" s="7"/>
      <c r="O2060" s="7"/>
      <c r="P2060" s="7"/>
      <c r="Q2060" s="7"/>
      <c r="R2060" s="7"/>
      <c r="S2060" s="7"/>
      <c r="T2060" s="7"/>
      <c r="U2060" s="7"/>
      <c r="V2060" s="7"/>
      <c r="W2060" s="7"/>
      <c r="X2060" s="7"/>
      <c r="Y2060" s="7"/>
      <c r="Z2060" s="7"/>
      <c r="AA2060" s="7"/>
      <c r="AB2060" s="7"/>
      <c r="AC2060" s="7"/>
      <c r="AD2060" s="7"/>
      <c r="AE2060" s="7"/>
    </row>
    <row r="2061">
      <c r="A2061" s="7"/>
      <c r="B2061" s="21"/>
      <c r="C2061" s="21"/>
      <c r="D2061" s="21"/>
      <c r="E2061" s="21"/>
      <c r="F2061" s="21"/>
      <c r="G2061" s="21"/>
      <c r="H2061" s="21"/>
      <c r="I2061" s="21"/>
      <c r="J2061" s="21"/>
      <c r="K2061" s="21"/>
      <c r="L2061" s="21"/>
      <c r="M2061" s="7"/>
      <c r="N2061" s="7"/>
      <c r="O2061" s="7"/>
      <c r="P2061" s="7"/>
      <c r="Q2061" s="7"/>
      <c r="R2061" s="7"/>
      <c r="S2061" s="7"/>
      <c r="T2061" s="7"/>
      <c r="U2061" s="7"/>
      <c r="V2061" s="7"/>
      <c r="W2061" s="7"/>
      <c r="X2061" s="7"/>
      <c r="Y2061" s="7"/>
      <c r="Z2061" s="7"/>
      <c r="AA2061" s="7"/>
      <c r="AB2061" s="7"/>
      <c r="AC2061" s="7"/>
      <c r="AD2061" s="7"/>
      <c r="AE2061" s="7"/>
    </row>
    <row r="2062">
      <c r="A2062" s="7"/>
      <c r="B2062" s="21"/>
      <c r="C2062" s="21"/>
      <c r="D2062" s="21"/>
      <c r="E2062" s="21"/>
      <c r="F2062" s="21"/>
      <c r="G2062" s="21"/>
      <c r="H2062" s="21"/>
      <c r="I2062" s="21"/>
      <c r="J2062" s="21"/>
      <c r="K2062" s="21"/>
      <c r="L2062" s="21"/>
      <c r="M2062" s="7"/>
      <c r="N2062" s="7"/>
      <c r="O2062" s="7"/>
      <c r="P2062" s="7"/>
      <c r="Q2062" s="7"/>
      <c r="R2062" s="7"/>
      <c r="S2062" s="7"/>
      <c r="T2062" s="7"/>
      <c r="U2062" s="7"/>
      <c r="V2062" s="7"/>
      <c r="W2062" s="7"/>
      <c r="X2062" s="7"/>
      <c r="Y2062" s="7"/>
      <c r="Z2062" s="7"/>
      <c r="AA2062" s="7"/>
      <c r="AB2062" s="7"/>
      <c r="AC2062" s="7"/>
      <c r="AD2062" s="7"/>
      <c r="AE2062" s="7"/>
    </row>
    <row r="2063">
      <c r="A2063" s="7"/>
      <c r="B2063" s="21"/>
      <c r="C2063" s="21"/>
      <c r="D2063" s="21"/>
      <c r="E2063" s="21"/>
      <c r="F2063" s="21"/>
      <c r="G2063" s="21"/>
      <c r="H2063" s="21"/>
      <c r="I2063" s="21"/>
      <c r="J2063" s="21"/>
      <c r="K2063" s="21"/>
      <c r="L2063" s="21"/>
      <c r="M2063" s="7"/>
      <c r="N2063" s="7"/>
      <c r="O2063" s="7"/>
      <c r="P2063" s="7"/>
      <c r="Q2063" s="7"/>
      <c r="R2063" s="7"/>
      <c r="S2063" s="7"/>
      <c r="T2063" s="7"/>
      <c r="U2063" s="7"/>
      <c r="V2063" s="7"/>
      <c r="W2063" s="7"/>
      <c r="X2063" s="7"/>
      <c r="Y2063" s="7"/>
      <c r="Z2063" s="7"/>
      <c r="AA2063" s="7"/>
      <c r="AB2063" s="7"/>
      <c r="AC2063" s="7"/>
      <c r="AD2063" s="7"/>
      <c r="AE2063" s="7"/>
    </row>
    <row r="2064">
      <c r="A2064" s="7"/>
      <c r="B2064" s="21"/>
      <c r="C2064" s="21"/>
      <c r="D2064" s="21"/>
      <c r="E2064" s="21"/>
      <c r="F2064" s="21"/>
      <c r="G2064" s="21"/>
      <c r="H2064" s="21"/>
      <c r="I2064" s="21"/>
      <c r="J2064" s="21"/>
      <c r="K2064" s="21"/>
      <c r="L2064" s="21"/>
      <c r="M2064" s="7"/>
      <c r="N2064" s="7"/>
      <c r="O2064" s="7"/>
      <c r="P2064" s="7"/>
      <c r="Q2064" s="7"/>
      <c r="R2064" s="7"/>
      <c r="S2064" s="7"/>
      <c r="T2064" s="7"/>
      <c r="U2064" s="7"/>
      <c r="V2064" s="7"/>
      <c r="W2064" s="7"/>
      <c r="X2064" s="7"/>
      <c r="Y2064" s="7"/>
      <c r="Z2064" s="7"/>
      <c r="AA2064" s="7"/>
      <c r="AB2064" s="7"/>
      <c r="AC2064" s="7"/>
      <c r="AD2064" s="7"/>
      <c r="AE2064" s="7"/>
    </row>
    <row r="2065">
      <c r="A2065" s="7"/>
      <c r="B2065" s="21"/>
      <c r="C2065" s="21"/>
      <c r="D2065" s="21"/>
      <c r="E2065" s="21"/>
      <c r="F2065" s="21"/>
      <c r="G2065" s="21"/>
      <c r="H2065" s="21"/>
      <c r="I2065" s="21"/>
      <c r="J2065" s="21"/>
      <c r="K2065" s="21"/>
      <c r="L2065" s="21"/>
      <c r="M2065" s="7"/>
      <c r="N2065" s="7"/>
      <c r="O2065" s="7"/>
      <c r="P2065" s="7"/>
      <c r="Q2065" s="7"/>
      <c r="R2065" s="7"/>
      <c r="S2065" s="7"/>
      <c r="T2065" s="7"/>
      <c r="U2065" s="7"/>
      <c r="V2065" s="7"/>
      <c r="W2065" s="7"/>
      <c r="X2065" s="7"/>
      <c r="Y2065" s="7"/>
      <c r="Z2065" s="7"/>
      <c r="AA2065" s="7"/>
      <c r="AB2065" s="7"/>
      <c r="AC2065" s="7"/>
      <c r="AD2065" s="7"/>
      <c r="AE2065" s="7"/>
    </row>
    <row r="2066">
      <c r="A2066" s="7"/>
      <c r="B2066" s="21"/>
      <c r="C2066" s="21"/>
      <c r="D2066" s="21"/>
      <c r="E2066" s="21"/>
      <c r="F2066" s="21"/>
      <c r="G2066" s="21"/>
      <c r="H2066" s="21"/>
      <c r="I2066" s="21"/>
      <c r="J2066" s="21"/>
      <c r="K2066" s="21"/>
      <c r="L2066" s="21"/>
      <c r="M2066" s="7"/>
      <c r="N2066" s="7"/>
      <c r="O2066" s="7"/>
      <c r="P2066" s="7"/>
      <c r="Q2066" s="7"/>
      <c r="R2066" s="7"/>
      <c r="S2066" s="7"/>
      <c r="T2066" s="7"/>
      <c r="U2066" s="7"/>
      <c r="V2066" s="7"/>
      <c r="W2066" s="7"/>
      <c r="X2066" s="7"/>
      <c r="Y2066" s="7"/>
      <c r="Z2066" s="7"/>
      <c r="AA2066" s="7"/>
      <c r="AB2066" s="7"/>
      <c r="AC2066" s="7"/>
      <c r="AD2066" s="7"/>
      <c r="AE2066" s="7"/>
    </row>
    <row r="2067">
      <c r="A2067" s="7"/>
      <c r="B2067" s="21"/>
      <c r="C2067" s="21"/>
      <c r="D2067" s="21"/>
      <c r="E2067" s="21"/>
      <c r="F2067" s="21"/>
      <c r="G2067" s="21"/>
      <c r="H2067" s="21"/>
      <c r="I2067" s="21"/>
      <c r="J2067" s="21"/>
      <c r="K2067" s="21"/>
      <c r="L2067" s="21"/>
      <c r="M2067" s="7"/>
      <c r="N2067" s="7"/>
      <c r="O2067" s="7"/>
      <c r="P2067" s="7"/>
      <c r="Q2067" s="7"/>
      <c r="R2067" s="7"/>
      <c r="S2067" s="7"/>
      <c r="T2067" s="7"/>
      <c r="U2067" s="7"/>
      <c r="V2067" s="7"/>
      <c r="W2067" s="7"/>
      <c r="X2067" s="7"/>
      <c r="Y2067" s="7"/>
      <c r="Z2067" s="7"/>
      <c r="AA2067" s="7"/>
      <c r="AB2067" s="7"/>
      <c r="AC2067" s="7"/>
      <c r="AD2067" s="7"/>
      <c r="AE2067" s="7"/>
    </row>
    <row r="2068">
      <c r="A2068" s="7"/>
      <c r="B2068" s="21"/>
      <c r="C2068" s="21"/>
      <c r="D2068" s="21"/>
      <c r="E2068" s="21"/>
      <c r="F2068" s="21"/>
      <c r="G2068" s="21"/>
      <c r="H2068" s="21"/>
      <c r="I2068" s="21"/>
      <c r="J2068" s="21"/>
      <c r="K2068" s="21"/>
      <c r="L2068" s="21"/>
      <c r="M2068" s="7"/>
      <c r="N2068" s="7"/>
      <c r="O2068" s="7"/>
      <c r="P2068" s="7"/>
      <c r="Q2068" s="7"/>
      <c r="R2068" s="7"/>
      <c r="S2068" s="7"/>
      <c r="T2068" s="7"/>
      <c r="U2068" s="7"/>
      <c r="V2068" s="7"/>
      <c r="W2068" s="7"/>
      <c r="X2068" s="7"/>
      <c r="Y2068" s="7"/>
      <c r="Z2068" s="7"/>
      <c r="AA2068" s="7"/>
      <c r="AB2068" s="7"/>
      <c r="AC2068" s="7"/>
      <c r="AD2068" s="7"/>
      <c r="AE2068" s="7"/>
    </row>
    <row r="2069">
      <c r="A2069" s="7"/>
      <c r="B2069" s="21"/>
      <c r="C2069" s="21"/>
      <c r="D2069" s="21"/>
      <c r="E2069" s="21"/>
      <c r="F2069" s="21"/>
      <c r="G2069" s="21"/>
      <c r="H2069" s="21"/>
      <c r="I2069" s="21"/>
      <c r="J2069" s="21"/>
      <c r="K2069" s="21"/>
      <c r="L2069" s="21"/>
      <c r="M2069" s="7"/>
      <c r="N2069" s="7"/>
      <c r="O2069" s="7"/>
      <c r="P2069" s="7"/>
      <c r="Q2069" s="7"/>
      <c r="R2069" s="7"/>
      <c r="S2069" s="7"/>
      <c r="T2069" s="7"/>
      <c r="U2069" s="7"/>
      <c r="V2069" s="7"/>
      <c r="W2069" s="7"/>
      <c r="X2069" s="7"/>
      <c r="Y2069" s="7"/>
      <c r="Z2069" s="7"/>
      <c r="AA2069" s="7"/>
      <c r="AB2069" s="7"/>
      <c r="AC2069" s="7"/>
      <c r="AD2069" s="7"/>
      <c r="AE2069" s="7"/>
    </row>
    <row r="2070">
      <c r="A2070" s="7"/>
      <c r="B2070" s="21"/>
      <c r="C2070" s="21"/>
      <c r="D2070" s="21"/>
      <c r="E2070" s="21"/>
      <c r="F2070" s="21"/>
      <c r="G2070" s="21"/>
      <c r="H2070" s="21"/>
      <c r="I2070" s="21"/>
      <c r="J2070" s="21"/>
      <c r="K2070" s="21"/>
      <c r="L2070" s="21"/>
      <c r="M2070" s="7"/>
      <c r="N2070" s="7"/>
      <c r="O2070" s="7"/>
      <c r="P2070" s="7"/>
      <c r="Q2070" s="7"/>
      <c r="R2070" s="7"/>
      <c r="S2070" s="7"/>
      <c r="T2070" s="7"/>
      <c r="U2070" s="7"/>
      <c r="V2070" s="7"/>
      <c r="W2070" s="7"/>
      <c r="X2070" s="7"/>
      <c r="Y2070" s="7"/>
      <c r="Z2070" s="7"/>
      <c r="AA2070" s="7"/>
      <c r="AB2070" s="7"/>
      <c r="AC2070" s="7"/>
      <c r="AD2070" s="7"/>
      <c r="AE2070" s="7"/>
    </row>
    <row r="2071">
      <c r="A2071" s="7"/>
      <c r="B2071" s="21"/>
      <c r="C2071" s="21"/>
      <c r="D2071" s="21"/>
      <c r="E2071" s="21"/>
      <c r="F2071" s="21"/>
      <c r="G2071" s="21"/>
      <c r="H2071" s="21"/>
      <c r="I2071" s="21"/>
      <c r="J2071" s="21"/>
      <c r="K2071" s="21"/>
      <c r="L2071" s="21"/>
      <c r="M2071" s="7"/>
      <c r="N2071" s="7"/>
      <c r="O2071" s="7"/>
      <c r="P2071" s="7"/>
      <c r="Q2071" s="7"/>
      <c r="R2071" s="7"/>
      <c r="S2071" s="7"/>
      <c r="T2071" s="7"/>
      <c r="U2071" s="7"/>
      <c r="V2071" s="7"/>
      <c r="W2071" s="7"/>
      <c r="X2071" s="7"/>
      <c r="Y2071" s="7"/>
      <c r="Z2071" s="7"/>
      <c r="AA2071" s="7"/>
      <c r="AB2071" s="7"/>
      <c r="AC2071" s="7"/>
      <c r="AD2071" s="7"/>
      <c r="AE2071" s="7"/>
    </row>
    <row r="2072">
      <c r="A2072" s="7"/>
      <c r="B2072" s="21"/>
      <c r="C2072" s="21"/>
      <c r="D2072" s="21"/>
      <c r="E2072" s="21"/>
      <c r="F2072" s="21"/>
      <c r="G2072" s="21"/>
      <c r="H2072" s="21"/>
      <c r="I2072" s="21"/>
      <c r="J2072" s="21"/>
      <c r="K2072" s="21"/>
      <c r="L2072" s="21"/>
      <c r="M2072" s="7"/>
      <c r="N2072" s="7"/>
      <c r="O2072" s="7"/>
      <c r="P2072" s="7"/>
      <c r="Q2072" s="7"/>
      <c r="R2072" s="7"/>
      <c r="S2072" s="7"/>
      <c r="T2072" s="7"/>
      <c r="U2072" s="7"/>
      <c r="V2072" s="7"/>
      <c r="W2072" s="7"/>
      <c r="X2072" s="7"/>
      <c r="Y2072" s="7"/>
      <c r="Z2072" s="7"/>
      <c r="AA2072" s="7"/>
      <c r="AB2072" s="7"/>
      <c r="AC2072" s="7"/>
      <c r="AD2072" s="7"/>
      <c r="AE2072" s="7"/>
    </row>
    <row r="2073">
      <c r="A2073" s="7"/>
      <c r="B2073" s="21"/>
      <c r="C2073" s="21"/>
      <c r="D2073" s="21"/>
      <c r="E2073" s="21"/>
      <c r="F2073" s="21"/>
      <c r="G2073" s="21"/>
      <c r="H2073" s="21"/>
      <c r="I2073" s="21"/>
      <c r="J2073" s="21"/>
      <c r="K2073" s="21"/>
      <c r="L2073" s="21"/>
      <c r="M2073" s="7"/>
      <c r="N2073" s="7"/>
      <c r="O2073" s="7"/>
      <c r="P2073" s="7"/>
      <c r="Q2073" s="7"/>
      <c r="R2073" s="7"/>
      <c r="S2073" s="7"/>
      <c r="T2073" s="7"/>
      <c r="U2073" s="7"/>
      <c r="V2073" s="7"/>
      <c r="W2073" s="7"/>
      <c r="X2073" s="7"/>
      <c r="Y2073" s="7"/>
      <c r="Z2073" s="7"/>
      <c r="AA2073" s="7"/>
      <c r="AB2073" s="7"/>
      <c r="AC2073" s="7"/>
      <c r="AD2073" s="7"/>
      <c r="AE2073" s="7"/>
    </row>
    <row r="2074">
      <c r="A2074" s="7"/>
      <c r="B2074" s="21"/>
      <c r="C2074" s="21"/>
      <c r="D2074" s="21"/>
      <c r="E2074" s="21"/>
      <c r="F2074" s="21"/>
      <c r="G2074" s="21"/>
      <c r="H2074" s="21"/>
      <c r="I2074" s="21"/>
      <c r="J2074" s="21"/>
      <c r="K2074" s="21"/>
      <c r="L2074" s="21"/>
      <c r="M2074" s="7"/>
      <c r="N2074" s="7"/>
      <c r="O2074" s="7"/>
      <c r="P2074" s="7"/>
      <c r="Q2074" s="7"/>
      <c r="R2074" s="7"/>
      <c r="S2074" s="7"/>
      <c r="T2074" s="7"/>
      <c r="U2074" s="7"/>
      <c r="V2074" s="7"/>
      <c r="W2074" s="7"/>
      <c r="X2074" s="7"/>
      <c r="Y2074" s="7"/>
      <c r="Z2074" s="7"/>
      <c r="AA2074" s="7"/>
      <c r="AB2074" s="7"/>
      <c r="AC2074" s="7"/>
      <c r="AD2074" s="7"/>
      <c r="AE2074" s="7"/>
    </row>
    <row r="2075">
      <c r="A2075" s="7"/>
      <c r="B2075" s="21"/>
      <c r="C2075" s="21"/>
      <c r="D2075" s="21"/>
      <c r="E2075" s="21"/>
      <c r="F2075" s="21"/>
      <c r="G2075" s="21"/>
      <c r="H2075" s="21"/>
      <c r="I2075" s="21"/>
      <c r="J2075" s="21"/>
      <c r="K2075" s="21"/>
      <c r="L2075" s="21"/>
      <c r="M2075" s="7"/>
      <c r="N2075" s="7"/>
      <c r="O2075" s="7"/>
      <c r="P2075" s="7"/>
      <c r="Q2075" s="7"/>
      <c r="R2075" s="7"/>
      <c r="S2075" s="7"/>
      <c r="T2075" s="7"/>
      <c r="U2075" s="7"/>
      <c r="V2075" s="7"/>
      <c r="W2075" s="7"/>
      <c r="X2075" s="7"/>
      <c r="Y2075" s="7"/>
      <c r="Z2075" s="7"/>
      <c r="AA2075" s="7"/>
      <c r="AB2075" s="7"/>
      <c r="AC2075" s="7"/>
      <c r="AD2075" s="7"/>
      <c r="AE2075" s="7"/>
    </row>
    <row r="2076">
      <c r="A2076" s="7"/>
      <c r="B2076" s="21"/>
      <c r="C2076" s="21"/>
      <c r="D2076" s="21"/>
      <c r="E2076" s="21"/>
      <c r="F2076" s="21"/>
      <c r="G2076" s="21"/>
      <c r="H2076" s="21"/>
      <c r="I2076" s="21"/>
      <c r="J2076" s="21"/>
      <c r="K2076" s="21"/>
      <c r="L2076" s="21"/>
      <c r="M2076" s="7"/>
      <c r="N2076" s="7"/>
      <c r="O2076" s="7"/>
      <c r="P2076" s="7"/>
      <c r="Q2076" s="7"/>
      <c r="R2076" s="7"/>
      <c r="S2076" s="7"/>
      <c r="T2076" s="7"/>
      <c r="U2076" s="7"/>
      <c r="V2076" s="7"/>
      <c r="W2076" s="7"/>
      <c r="X2076" s="7"/>
      <c r="Y2076" s="7"/>
      <c r="Z2076" s="7"/>
      <c r="AA2076" s="7"/>
      <c r="AB2076" s="7"/>
      <c r="AC2076" s="7"/>
      <c r="AD2076" s="7"/>
      <c r="AE2076" s="7"/>
    </row>
    <row r="2077">
      <c r="A2077" s="7"/>
      <c r="B2077" s="21"/>
      <c r="C2077" s="21"/>
      <c r="D2077" s="21"/>
      <c r="E2077" s="21"/>
      <c r="F2077" s="21"/>
      <c r="G2077" s="21"/>
      <c r="H2077" s="21"/>
      <c r="I2077" s="21"/>
      <c r="J2077" s="21"/>
      <c r="K2077" s="21"/>
      <c r="L2077" s="21"/>
      <c r="M2077" s="7"/>
      <c r="N2077" s="7"/>
      <c r="O2077" s="7"/>
      <c r="P2077" s="7"/>
      <c r="Q2077" s="7"/>
      <c r="R2077" s="7"/>
      <c r="S2077" s="7"/>
      <c r="T2077" s="7"/>
      <c r="U2077" s="7"/>
      <c r="V2077" s="7"/>
      <c r="W2077" s="7"/>
      <c r="X2077" s="7"/>
      <c r="Y2077" s="7"/>
      <c r="Z2077" s="7"/>
      <c r="AA2077" s="7"/>
      <c r="AB2077" s="7"/>
      <c r="AC2077" s="7"/>
      <c r="AD2077" s="7"/>
      <c r="AE2077" s="7"/>
    </row>
    <row r="2078">
      <c r="A2078" s="7"/>
      <c r="B2078" s="21"/>
      <c r="C2078" s="21"/>
      <c r="D2078" s="21"/>
      <c r="E2078" s="21"/>
      <c r="F2078" s="21"/>
      <c r="G2078" s="21"/>
      <c r="H2078" s="21"/>
      <c r="I2078" s="21"/>
      <c r="J2078" s="21"/>
      <c r="K2078" s="21"/>
      <c r="L2078" s="21"/>
      <c r="M2078" s="7"/>
      <c r="N2078" s="7"/>
      <c r="O2078" s="7"/>
      <c r="P2078" s="7"/>
      <c r="Q2078" s="7"/>
      <c r="R2078" s="7"/>
      <c r="S2078" s="7"/>
      <c r="T2078" s="7"/>
      <c r="U2078" s="7"/>
      <c r="V2078" s="7"/>
      <c r="W2078" s="7"/>
      <c r="X2078" s="7"/>
      <c r="Y2078" s="7"/>
      <c r="Z2078" s="7"/>
      <c r="AA2078" s="7"/>
      <c r="AB2078" s="7"/>
      <c r="AC2078" s="7"/>
      <c r="AD2078" s="7"/>
      <c r="AE2078" s="7"/>
    </row>
    <row r="2079">
      <c r="A2079" s="7"/>
      <c r="B2079" s="21"/>
      <c r="C2079" s="21"/>
      <c r="D2079" s="21"/>
      <c r="E2079" s="21"/>
      <c r="F2079" s="21"/>
      <c r="G2079" s="21"/>
      <c r="H2079" s="21"/>
      <c r="I2079" s="21"/>
      <c r="J2079" s="21"/>
      <c r="K2079" s="21"/>
      <c r="L2079" s="21"/>
      <c r="M2079" s="7"/>
      <c r="N2079" s="7"/>
      <c r="O2079" s="7"/>
      <c r="P2079" s="7"/>
      <c r="Q2079" s="7"/>
      <c r="R2079" s="7"/>
      <c r="S2079" s="7"/>
      <c r="T2079" s="7"/>
      <c r="U2079" s="7"/>
      <c r="V2079" s="7"/>
      <c r="W2079" s="7"/>
      <c r="X2079" s="7"/>
      <c r="Y2079" s="7"/>
      <c r="Z2079" s="7"/>
      <c r="AA2079" s="7"/>
      <c r="AB2079" s="7"/>
      <c r="AC2079" s="7"/>
      <c r="AD2079" s="7"/>
      <c r="AE2079" s="7"/>
    </row>
    <row r="2080">
      <c r="A2080" s="7"/>
      <c r="B2080" s="21"/>
      <c r="C2080" s="21"/>
      <c r="D2080" s="21"/>
      <c r="E2080" s="21"/>
      <c r="F2080" s="21"/>
      <c r="G2080" s="21"/>
      <c r="H2080" s="21"/>
      <c r="I2080" s="21"/>
      <c r="J2080" s="21"/>
      <c r="K2080" s="21"/>
      <c r="L2080" s="21"/>
      <c r="M2080" s="7"/>
      <c r="N2080" s="7"/>
      <c r="O2080" s="7"/>
      <c r="P2080" s="7"/>
      <c r="Q2080" s="7"/>
      <c r="R2080" s="7"/>
      <c r="S2080" s="7"/>
      <c r="T2080" s="7"/>
      <c r="U2080" s="7"/>
      <c r="V2080" s="7"/>
      <c r="W2080" s="7"/>
      <c r="X2080" s="7"/>
      <c r="Y2080" s="7"/>
      <c r="Z2080" s="7"/>
      <c r="AA2080" s="7"/>
      <c r="AB2080" s="7"/>
      <c r="AC2080" s="7"/>
      <c r="AD2080" s="7"/>
      <c r="AE2080" s="7"/>
    </row>
    <row r="2081">
      <c r="A2081" s="7"/>
      <c r="B2081" s="21"/>
      <c r="C2081" s="21"/>
      <c r="D2081" s="21"/>
      <c r="E2081" s="21"/>
      <c r="F2081" s="21"/>
      <c r="G2081" s="21"/>
      <c r="H2081" s="21"/>
      <c r="I2081" s="21"/>
      <c r="J2081" s="21"/>
      <c r="K2081" s="21"/>
      <c r="L2081" s="21"/>
      <c r="M2081" s="7"/>
      <c r="N2081" s="7"/>
      <c r="O2081" s="7"/>
      <c r="P2081" s="7"/>
      <c r="Q2081" s="7"/>
      <c r="R2081" s="7"/>
      <c r="S2081" s="7"/>
      <c r="T2081" s="7"/>
      <c r="U2081" s="7"/>
      <c r="V2081" s="7"/>
      <c r="W2081" s="7"/>
      <c r="X2081" s="7"/>
      <c r="Y2081" s="7"/>
      <c r="Z2081" s="7"/>
      <c r="AA2081" s="7"/>
      <c r="AB2081" s="7"/>
      <c r="AC2081" s="7"/>
      <c r="AD2081" s="7"/>
      <c r="AE2081" s="7"/>
    </row>
    <row r="2082">
      <c r="A2082" s="7"/>
      <c r="B2082" s="21"/>
      <c r="C2082" s="21"/>
      <c r="D2082" s="21"/>
      <c r="E2082" s="21"/>
      <c r="F2082" s="21"/>
      <c r="G2082" s="21"/>
      <c r="H2082" s="21"/>
      <c r="I2082" s="21"/>
      <c r="J2082" s="21"/>
      <c r="K2082" s="21"/>
      <c r="L2082" s="21"/>
      <c r="M2082" s="7"/>
      <c r="N2082" s="7"/>
      <c r="O2082" s="7"/>
      <c r="P2082" s="7"/>
      <c r="Q2082" s="7"/>
      <c r="R2082" s="7"/>
      <c r="S2082" s="7"/>
      <c r="T2082" s="7"/>
      <c r="U2082" s="7"/>
      <c r="V2082" s="7"/>
      <c r="W2082" s="7"/>
      <c r="X2082" s="7"/>
      <c r="Y2082" s="7"/>
      <c r="Z2082" s="7"/>
      <c r="AA2082" s="7"/>
      <c r="AB2082" s="7"/>
      <c r="AC2082" s="7"/>
      <c r="AD2082" s="7"/>
      <c r="AE2082" s="7"/>
    </row>
    <row r="2083">
      <c r="A2083" s="7"/>
      <c r="B2083" s="21"/>
      <c r="C2083" s="21"/>
      <c r="D2083" s="21"/>
      <c r="E2083" s="21"/>
      <c r="F2083" s="21"/>
      <c r="G2083" s="21"/>
      <c r="H2083" s="21"/>
      <c r="I2083" s="21"/>
      <c r="J2083" s="21"/>
      <c r="K2083" s="21"/>
      <c r="L2083" s="21"/>
      <c r="M2083" s="7"/>
      <c r="N2083" s="7"/>
      <c r="O2083" s="7"/>
      <c r="P2083" s="7"/>
      <c r="Q2083" s="7"/>
      <c r="R2083" s="7"/>
      <c r="S2083" s="7"/>
      <c r="T2083" s="7"/>
      <c r="U2083" s="7"/>
      <c r="V2083" s="7"/>
      <c r="W2083" s="7"/>
      <c r="X2083" s="7"/>
      <c r="Y2083" s="7"/>
      <c r="Z2083" s="7"/>
      <c r="AA2083" s="7"/>
      <c r="AB2083" s="7"/>
      <c r="AC2083" s="7"/>
      <c r="AD2083" s="7"/>
      <c r="AE2083" s="7"/>
    </row>
    <row r="2084">
      <c r="A2084" s="7"/>
      <c r="B2084" s="21"/>
      <c r="C2084" s="21"/>
      <c r="D2084" s="21"/>
      <c r="E2084" s="21"/>
      <c r="F2084" s="21"/>
      <c r="G2084" s="21"/>
      <c r="H2084" s="21"/>
      <c r="I2084" s="21"/>
      <c r="J2084" s="21"/>
      <c r="K2084" s="21"/>
      <c r="L2084" s="21"/>
      <c r="M2084" s="7"/>
      <c r="N2084" s="7"/>
      <c r="O2084" s="7"/>
      <c r="P2084" s="7"/>
      <c r="Q2084" s="7"/>
      <c r="R2084" s="7"/>
      <c r="S2084" s="7"/>
      <c r="T2084" s="7"/>
      <c r="U2084" s="7"/>
      <c r="V2084" s="7"/>
      <c r="W2084" s="7"/>
      <c r="X2084" s="7"/>
      <c r="Y2084" s="7"/>
      <c r="Z2084" s="7"/>
      <c r="AA2084" s="7"/>
      <c r="AB2084" s="7"/>
      <c r="AC2084" s="7"/>
      <c r="AD2084" s="7"/>
      <c r="AE2084" s="7"/>
    </row>
    <row r="2085">
      <c r="A2085" s="7"/>
      <c r="B2085" s="21"/>
      <c r="C2085" s="21"/>
      <c r="D2085" s="21"/>
      <c r="E2085" s="21"/>
      <c r="F2085" s="21"/>
      <c r="G2085" s="21"/>
      <c r="H2085" s="21"/>
      <c r="I2085" s="21"/>
      <c r="J2085" s="21"/>
      <c r="K2085" s="21"/>
      <c r="L2085" s="21"/>
      <c r="M2085" s="7"/>
      <c r="N2085" s="7"/>
      <c r="O2085" s="7"/>
      <c r="P2085" s="7"/>
      <c r="Q2085" s="7"/>
      <c r="R2085" s="7"/>
      <c r="S2085" s="7"/>
      <c r="T2085" s="7"/>
      <c r="U2085" s="7"/>
      <c r="V2085" s="7"/>
      <c r="W2085" s="7"/>
      <c r="X2085" s="7"/>
      <c r="Y2085" s="7"/>
      <c r="Z2085" s="7"/>
      <c r="AA2085" s="7"/>
      <c r="AB2085" s="7"/>
      <c r="AC2085" s="7"/>
      <c r="AD2085" s="7"/>
      <c r="AE2085" s="7"/>
    </row>
    <row r="2086">
      <c r="A2086" s="7"/>
      <c r="B2086" s="21"/>
      <c r="C2086" s="21"/>
      <c r="D2086" s="21"/>
      <c r="E2086" s="21"/>
      <c r="F2086" s="21"/>
      <c r="G2086" s="21"/>
      <c r="H2086" s="21"/>
      <c r="I2086" s="21"/>
      <c r="J2086" s="21"/>
      <c r="K2086" s="21"/>
      <c r="L2086" s="21"/>
      <c r="M2086" s="7"/>
      <c r="N2086" s="7"/>
      <c r="O2086" s="7"/>
      <c r="P2086" s="7"/>
      <c r="Q2086" s="7"/>
      <c r="R2086" s="7"/>
      <c r="S2086" s="7"/>
      <c r="T2086" s="7"/>
      <c r="U2086" s="7"/>
      <c r="V2086" s="7"/>
      <c r="W2086" s="7"/>
      <c r="X2086" s="7"/>
      <c r="Y2086" s="7"/>
      <c r="Z2086" s="7"/>
      <c r="AA2086" s="7"/>
      <c r="AB2086" s="7"/>
      <c r="AC2086" s="7"/>
      <c r="AD2086" s="7"/>
      <c r="AE2086" s="7"/>
    </row>
    <row r="2087">
      <c r="A2087" s="7"/>
      <c r="B2087" s="21"/>
      <c r="C2087" s="21"/>
      <c r="D2087" s="21"/>
      <c r="E2087" s="21"/>
      <c r="F2087" s="21"/>
      <c r="G2087" s="21"/>
      <c r="H2087" s="21"/>
      <c r="I2087" s="21"/>
      <c r="J2087" s="21"/>
      <c r="K2087" s="21"/>
      <c r="L2087" s="21"/>
      <c r="M2087" s="7"/>
      <c r="N2087" s="7"/>
      <c r="O2087" s="7"/>
      <c r="P2087" s="7"/>
      <c r="Q2087" s="7"/>
      <c r="R2087" s="7"/>
      <c r="S2087" s="7"/>
      <c r="T2087" s="7"/>
      <c r="U2087" s="7"/>
      <c r="V2087" s="7"/>
      <c r="W2087" s="7"/>
      <c r="X2087" s="7"/>
      <c r="Y2087" s="7"/>
      <c r="Z2087" s="7"/>
      <c r="AA2087" s="7"/>
      <c r="AB2087" s="7"/>
      <c r="AC2087" s="7"/>
      <c r="AD2087" s="7"/>
      <c r="AE2087" s="7"/>
    </row>
    <row r="2088">
      <c r="A2088" s="7"/>
      <c r="B2088" s="21"/>
      <c r="C2088" s="21"/>
      <c r="D2088" s="21"/>
      <c r="E2088" s="21"/>
      <c r="F2088" s="21"/>
      <c r="G2088" s="21"/>
      <c r="H2088" s="21"/>
      <c r="I2088" s="21"/>
      <c r="J2088" s="21"/>
      <c r="K2088" s="21"/>
      <c r="L2088" s="21"/>
      <c r="M2088" s="7"/>
      <c r="N2088" s="7"/>
      <c r="O2088" s="7"/>
      <c r="P2088" s="7"/>
      <c r="Q2088" s="7"/>
      <c r="R2088" s="7"/>
      <c r="S2088" s="7"/>
      <c r="T2088" s="7"/>
      <c r="U2088" s="7"/>
      <c r="V2088" s="7"/>
      <c r="W2088" s="7"/>
      <c r="X2088" s="7"/>
      <c r="Y2088" s="7"/>
      <c r="Z2088" s="7"/>
      <c r="AA2088" s="7"/>
      <c r="AB2088" s="7"/>
      <c r="AC2088" s="7"/>
      <c r="AD2088" s="7"/>
      <c r="AE2088" s="7"/>
    </row>
    <row r="2089">
      <c r="A2089" s="7"/>
      <c r="B2089" s="21"/>
      <c r="C2089" s="21"/>
      <c r="D2089" s="21"/>
      <c r="E2089" s="21"/>
      <c r="F2089" s="21"/>
      <c r="G2089" s="21"/>
      <c r="H2089" s="21"/>
      <c r="I2089" s="21"/>
      <c r="J2089" s="21"/>
      <c r="K2089" s="21"/>
      <c r="L2089" s="21"/>
      <c r="M2089" s="7"/>
      <c r="N2089" s="7"/>
      <c r="O2089" s="7"/>
      <c r="P2089" s="7"/>
      <c r="Q2089" s="7"/>
      <c r="R2089" s="7"/>
      <c r="S2089" s="7"/>
      <c r="T2089" s="7"/>
      <c r="U2089" s="7"/>
      <c r="V2089" s="7"/>
      <c r="W2089" s="7"/>
      <c r="X2089" s="7"/>
      <c r="Y2089" s="7"/>
      <c r="Z2089" s="7"/>
      <c r="AA2089" s="7"/>
      <c r="AB2089" s="7"/>
      <c r="AC2089" s="7"/>
      <c r="AD2089" s="7"/>
      <c r="AE2089" s="7"/>
    </row>
    <row r="2090">
      <c r="A2090" s="7"/>
      <c r="B2090" s="21"/>
      <c r="C2090" s="21"/>
      <c r="D2090" s="21"/>
      <c r="E2090" s="21"/>
      <c r="F2090" s="21"/>
      <c r="G2090" s="21"/>
      <c r="H2090" s="21"/>
      <c r="I2090" s="21"/>
      <c r="J2090" s="21"/>
      <c r="K2090" s="21"/>
      <c r="L2090" s="21"/>
      <c r="M2090" s="7"/>
      <c r="N2090" s="7"/>
      <c r="O2090" s="7"/>
      <c r="P2090" s="7"/>
      <c r="Q2090" s="7"/>
      <c r="R2090" s="7"/>
      <c r="S2090" s="7"/>
      <c r="T2090" s="7"/>
      <c r="U2090" s="7"/>
      <c r="V2090" s="7"/>
      <c r="W2090" s="7"/>
      <c r="X2090" s="7"/>
      <c r="Y2090" s="7"/>
      <c r="Z2090" s="7"/>
      <c r="AA2090" s="7"/>
      <c r="AB2090" s="7"/>
      <c r="AC2090" s="7"/>
      <c r="AD2090" s="7"/>
      <c r="AE2090" s="7"/>
    </row>
    <row r="2091">
      <c r="A2091" s="7"/>
      <c r="B2091" s="21"/>
      <c r="C2091" s="21"/>
      <c r="D2091" s="21"/>
      <c r="E2091" s="21"/>
      <c r="F2091" s="21"/>
      <c r="G2091" s="21"/>
      <c r="H2091" s="21"/>
      <c r="I2091" s="21"/>
      <c r="J2091" s="21"/>
      <c r="K2091" s="21"/>
      <c r="L2091" s="21"/>
      <c r="M2091" s="7"/>
      <c r="N2091" s="7"/>
      <c r="O2091" s="7"/>
      <c r="P2091" s="7"/>
      <c r="Q2091" s="7"/>
      <c r="R2091" s="7"/>
      <c r="S2091" s="7"/>
      <c r="T2091" s="7"/>
      <c r="U2091" s="7"/>
      <c r="V2091" s="7"/>
      <c r="W2091" s="7"/>
      <c r="X2091" s="7"/>
      <c r="Y2091" s="7"/>
      <c r="Z2091" s="7"/>
      <c r="AA2091" s="7"/>
      <c r="AB2091" s="7"/>
      <c r="AC2091" s="7"/>
      <c r="AD2091" s="7"/>
      <c r="AE2091" s="7"/>
    </row>
    <row r="2092">
      <c r="A2092" s="7"/>
      <c r="B2092" s="21"/>
      <c r="C2092" s="21"/>
      <c r="D2092" s="21"/>
      <c r="E2092" s="21"/>
      <c r="F2092" s="21"/>
      <c r="G2092" s="21"/>
      <c r="H2092" s="21"/>
      <c r="I2092" s="21"/>
      <c r="J2092" s="21"/>
      <c r="K2092" s="21"/>
      <c r="L2092" s="21"/>
      <c r="M2092" s="7"/>
      <c r="N2092" s="7"/>
      <c r="O2092" s="7"/>
      <c r="P2092" s="7"/>
      <c r="Q2092" s="7"/>
      <c r="R2092" s="7"/>
      <c r="S2092" s="7"/>
      <c r="T2092" s="7"/>
      <c r="U2092" s="7"/>
      <c r="V2092" s="7"/>
      <c r="W2092" s="7"/>
      <c r="X2092" s="7"/>
      <c r="Y2092" s="7"/>
      <c r="Z2092" s="7"/>
      <c r="AA2092" s="7"/>
      <c r="AB2092" s="7"/>
      <c r="AC2092" s="7"/>
      <c r="AD2092" s="7"/>
      <c r="AE2092" s="7"/>
    </row>
    <row r="2093">
      <c r="A2093" s="7"/>
      <c r="B2093" s="21"/>
      <c r="C2093" s="21"/>
      <c r="D2093" s="21"/>
      <c r="E2093" s="21"/>
      <c r="F2093" s="21"/>
      <c r="G2093" s="21"/>
      <c r="H2093" s="21"/>
      <c r="I2093" s="21"/>
      <c r="J2093" s="21"/>
      <c r="K2093" s="21"/>
      <c r="L2093" s="21"/>
      <c r="M2093" s="7"/>
      <c r="N2093" s="7"/>
      <c r="O2093" s="7"/>
      <c r="P2093" s="7"/>
      <c r="Q2093" s="7"/>
      <c r="R2093" s="7"/>
      <c r="S2093" s="7"/>
      <c r="T2093" s="7"/>
      <c r="U2093" s="7"/>
      <c r="V2093" s="7"/>
      <c r="W2093" s="7"/>
      <c r="X2093" s="7"/>
      <c r="Y2093" s="7"/>
      <c r="Z2093" s="7"/>
      <c r="AA2093" s="7"/>
      <c r="AB2093" s="7"/>
      <c r="AC2093" s="7"/>
      <c r="AD2093" s="7"/>
      <c r="AE2093" s="7"/>
    </row>
    <row r="2094">
      <c r="A2094" s="7"/>
      <c r="B2094" s="21"/>
      <c r="C2094" s="21"/>
      <c r="D2094" s="21"/>
      <c r="E2094" s="21"/>
      <c r="F2094" s="21"/>
      <c r="G2094" s="21"/>
      <c r="H2094" s="21"/>
      <c r="I2094" s="21"/>
      <c r="J2094" s="21"/>
      <c r="K2094" s="21"/>
      <c r="L2094" s="21"/>
      <c r="M2094" s="7"/>
      <c r="N2094" s="7"/>
      <c r="O2094" s="7"/>
      <c r="P2094" s="7"/>
      <c r="Q2094" s="7"/>
      <c r="R2094" s="7"/>
      <c r="S2094" s="7"/>
      <c r="T2094" s="7"/>
      <c r="U2094" s="7"/>
      <c r="V2094" s="7"/>
      <c r="W2094" s="7"/>
      <c r="X2094" s="7"/>
      <c r="Y2094" s="7"/>
      <c r="Z2094" s="7"/>
      <c r="AA2094" s="7"/>
      <c r="AB2094" s="7"/>
      <c r="AC2094" s="7"/>
      <c r="AD2094" s="7"/>
      <c r="AE2094" s="7"/>
    </row>
    <row r="2095">
      <c r="A2095" s="7"/>
      <c r="B2095" s="21"/>
      <c r="C2095" s="21"/>
      <c r="D2095" s="21"/>
      <c r="E2095" s="21"/>
      <c r="F2095" s="21"/>
      <c r="G2095" s="21"/>
      <c r="H2095" s="21"/>
      <c r="I2095" s="21"/>
      <c r="J2095" s="21"/>
      <c r="K2095" s="21"/>
      <c r="L2095" s="21"/>
      <c r="M2095" s="7"/>
      <c r="N2095" s="7"/>
      <c r="O2095" s="7"/>
      <c r="P2095" s="7"/>
      <c r="Q2095" s="7"/>
      <c r="R2095" s="7"/>
      <c r="S2095" s="7"/>
      <c r="T2095" s="7"/>
      <c r="U2095" s="7"/>
      <c r="V2095" s="7"/>
      <c r="W2095" s="7"/>
      <c r="X2095" s="7"/>
      <c r="Y2095" s="7"/>
      <c r="Z2095" s="7"/>
      <c r="AA2095" s="7"/>
      <c r="AB2095" s="7"/>
      <c r="AC2095" s="7"/>
      <c r="AD2095" s="7"/>
      <c r="AE2095" s="7"/>
    </row>
    <row r="2096">
      <c r="A2096" s="7"/>
      <c r="B2096" s="21"/>
      <c r="C2096" s="21"/>
      <c r="D2096" s="21"/>
      <c r="E2096" s="21"/>
      <c r="F2096" s="21"/>
      <c r="G2096" s="21"/>
      <c r="H2096" s="21"/>
      <c r="I2096" s="21"/>
      <c r="J2096" s="21"/>
      <c r="K2096" s="21"/>
      <c r="L2096" s="21"/>
      <c r="M2096" s="7"/>
      <c r="N2096" s="7"/>
      <c r="O2096" s="7"/>
      <c r="P2096" s="7"/>
      <c r="Q2096" s="7"/>
      <c r="R2096" s="7"/>
      <c r="S2096" s="7"/>
      <c r="T2096" s="7"/>
      <c r="U2096" s="7"/>
      <c r="V2096" s="7"/>
      <c r="W2096" s="7"/>
      <c r="X2096" s="7"/>
      <c r="Y2096" s="7"/>
      <c r="Z2096" s="7"/>
      <c r="AA2096" s="7"/>
      <c r="AB2096" s="7"/>
      <c r="AC2096" s="7"/>
      <c r="AD2096" s="7"/>
      <c r="AE2096" s="7"/>
    </row>
    <row r="2097">
      <c r="A2097" s="7"/>
      <c r="B2097" s="21"/>
      <c r="C2097" s="21"/>
      <c r="D2097" s="21"/>
      <c r="E2097" s="21"/>
      <c r="F2097" s="21"/>
      <c r="G2097" s="21"/>
      <c r="H2097" s="21"/>
      <c r="I2097" s="21"/>
      <c r="J2097" s="21"/>
      <c r="K2097" s="21"/>
      <c r="L2097" s="21"/>
      <c r="M2097" s="7"/>
      <c r="N2097" s="7"/>
      <c r="O2097" s="7"/>
      <c r="P2097" s="7"/>
      <c r="Q2097" s="7"/>
      <c r="R2097" s="7"/>
      <c r="S2097" s="7"/>
      <c r="T2097" s="7"/>
      <c r="U2097" s="7"/>
      <c r="V2097" s="7"/>
      <c r="W2097" s="7"/>
      <c r="X2097" s="7"/>
      <c r="Y2097" s="7"/>
      <c r="Z2097" s="7"/>
      <c r="AA2097" s="7"/>
      <c r="AB2097" s="7"/>
      <c r="AC2097" s="7"/>
      <c r="AD2097" s="7"/>
      <c r="AE2097" s="7"/>
    </row>
    <row r="2098">
      <c r="A2098" s="7"/>
      <c r="B2098" s="21"/>
      <c r="C2098" s="21"/>
      <c r="D2098" s="21"/>
      <c r="E2098" s="21"/>
      <c r="F2098" s="21"/>
      <c r="G2098" s="21"/>
      <c r="H2098" s="21"/>
      <c r="I2098" s="21"/>
      <c r="J2098" s="21"/>
      <c r="K2098" s="21"/>
      <c r="L2098" s="21"/>
      <c r="M2098" s="7"/>
      <c r="N2098" s="7"/>
      <c r="O2098" s="7"/>
      <c r="P2098" s="7"/>
      <c r="Q2098" s="7"/>
      <c r="R2098" s="7"/>
      <c r="S2098" s="7"/>
      <c r="T2098" s="7"/>
      <c r="U2098" s="7"/>
      <c r="V2098" s="7"/>
      <c r="W2098" s="7"/>
      <c r="X2098" s="7"/>
      <c r="Y2098" s="7"/>
      <c r="Z2098" s="7"/>
      <c r="AA2098" s="7"/>
      <c r="AB2098" s="7"/>
      <c r="AC2098" s="7"/>
      <c r="AD2098" s="7"/>
      <c r="AE2098" s="7"/>
    </row>
    <row r="2099">
      <c r="A2099" s="7"/>
      <c r="B2099" s="21"/>
      <c r="C2099" s="21"/>
      <c r="D2099" s="21"/>
      <c r="E2099" s="21"/>
      <c r="F2099" s="21"/>
      <c r="G2099" s="21"/>
      <c r="H2099" s="21"/>
      <c r="I2099" s="21"/>
      <c r="J2099" s="21"/>
      <c r="K2099" s="21"/>
      <c r="L2099" s="21"/>
      <c r="M2099" s="7"/>
      <c r="N2099" s="7"/>
      <c r="O2099" s="7"/>
      <c r="P2099" s="7"/>
      <c r="Q2099" s="7"/>
      <c r="R2099" s="7"/>
      <c r="S2099" s="7"/>
      <c r="T2099" s="7"/>
      <c r="U2099" s="7"/>
      <c r="V2099" s="7"/>
      <c r="W2099" s="7"/>
      <c r="X2099" s="7"/>
      <c r="Y2099" s="7"/>
      <c r="Z2099" s="7"/>
      <c r="AA2099" s="7"/>
      <c r="AB2099" s="7"/>
      <c r="AC2099" s="7"/>
      <c r="AD2099" s="7"/>
      <c r="AE2099" s="7"/>
    </row>
    <row r="2100">
      <c r="A2100" s="7"/>
      <c r="B2100" s="21"/>
      <c r="C2100" s="21"/>
      <c r="D2100" s="21"/>
      <c r="E2100" s="21"/>
      <c r="F2100" s="21"/>
      <c r="G2100" s="21"/>
      <c r="H2100" s="21"/>
      <c r="I2100" s="21"/>
      <c r="J2100" s="21"/>
      <c r="K2100" s="21"/>
      <c r="L2100" s="21"/>
      <c r="M2100" s="7"/>
      <c r="N2100" s="7"/>
      <c r="O2100" s="7"/>
      <c r="P2100" s="7"/>
      <c r="Q2100" s="7"/>
      <c r="R2100" s="7"/>
      <c r="S2100" s="7"/>
      <c r="T2100" s="7"/>
      <c r="U2100" s="7"/>
      <c r="V2100" s="7"/>
      <c r="W2100" s="7"/>
      <c r="X2100" s="7"/>
      <c r="Y2100" s="7"/>
      <c r="Z2100" s="7"/>
      <c r="AA2100" s="7"/>
      <c r="AB2100" s="7"/>
      <c r="AC2100" s="7"/>
      <c r="AD2100" s="7"/>
      <c r="AE2100" s="7"/>
    </row>
    <row r="2101">
      <c r="A2101" s="7"/>
      <c r="B2101" s="21"/>
      <c r="C2101" s="21"/>
      <c r="D2101" s="21"/>
      <c r="E2101" s="21"/>
      <c r="F2101" s="21"/>
      <c r="G2101" s="21"/>
      <c r="H2101" s="21"/>
      <c r="I2101" s="21"/>
      <c r="J2101" s="21"/>
      <c r="K2101" s="21"/>
      <c r="L2101" s="21"/>
      <c r="M2101" s="7"/>
      <c r="N2101" s="7"/>
      <c r="O2101" s="7"/>
      <c r="P2101" s="7"/>
      <c r="Q2101" s="7"/>
      <c r="R2101" s="7"/>
      <c r="S2101" s="7"/>
      <c r="T2101" s="7"/>
      <c r="U2101" s="7"/>
      <c r="V2101" s="7"/>
      <c r="W2101" s="7"/>
      <c r="X2101" s="7"/>
      <c r="Y2101" s="7"/>
      <c r="Z2101" s="7"/>
      <c r="AA2101" s="7"/>
      <c r="AB2101" s="7"/>
      <c r="AC2101" s="7"/>
      <c r="AD2101" s="7"/>
      <c r="AE2101" s="7"/>
    </row>
    <row r="2102">
      <c r="A2102" s="7"/>
      <c r="B2102" s="21"/>
      <c r="C2102" s="21"/>
      <c r="D2102" s="21"/>
      <c r="E2102" s="21"/>
      <c r="F2102" s="21"/>
      <c r="G2102" s="21"/>
      <c r="H2102" s="21"/>
      <c r="I2102" s="21"/>
      <c r="J2102" s="21"/>
      <c r="K2102" s="21"/>
      <c r="L2102" s="21"/>
      <c r="M2102" s="7"/>
      <c r="N2102" s="7"/>
      <c r="O2102" s="7"/>
      <c r="P2102" s="7"/>
      <c r="Q2102" s="7"/>
      <c r="R2102" s="7"/>
      <c r="S2102" s="7"/>
      <c r="T2102" s="7"/>
      <c r="U2102" s="7"/>
      <c r="V2102" s="7"/>
      <c r="W2102" s="7"/>
      <c r="X2102" s="7"/>
      <c r="Y2102" s="7"/>
      <c r="Z2102" s="7"/>
      <c r="AA2102" s="7"/>
      <c r="AB2102" s="7"/>
      <c r="AC2102" s="7"/>
      <c r="AD2102" s="7"/>
      <c r="AE2102" s="7"/>
    </row>
    <row r="2103">
      <c r="A2103" s="7"/>
      <c r="B2103" s="21"/>
      <c r="C2103" s="21"/>
      <c r="D2103" s="21"/>
      <c r="E2103" s="21"/>
      <c r="F2103" s="21"/>
      <c r="G2103" s="21"/>
      <c r="H2103" s="21"/>
      <c r="I2103" s="21"/>
      <c r="J2103" s="21"/>
      <c r="K2103" s="21"/>
      <c r="L2103" s="21"/>
      <c r="M2103" s="7"/>
      <c r="N2103" s="7"/>
      <c r="O2103" s="7"/>
      <c r="P2103" s="7"/>
      <c r="Q2103" s="7"/>
      <c r="R2103" s="7"/>
      <c r="S2103" s="7"/>
      <c r="T2103" s="7"/>
      <c r="U2103" s="7"/>
      <c r="V2103" s="7"/>
      <c r="W2103" s="7"/>
      <c r="X2103" s="7"/>
      <c r="Y2103" s="7"/>
      <c r="Z2103" s="7"/>
      <c r="AA2103" s="7"/>
      <c r="AB2103" s="7"/>
      <c r="AC2103" s="7"/>
      <c r="AD2103" s="7"/>
      <c r="AE2103" s="7"/>
    </row>
    <row r="2104">
      <c r="A2104" s="7"/>
      <c r="B2104" s="21"/>
      <c r="C2104" s="21"/>
      <c r="D2104" s="21"/>
      <c r="E2104" s="21"/>
      <c r="F2104" s="21"/>
      <c r="G2104" s="21"/>
      <c r="H2104" s="21"/>
      <c r="I2104" s="21"/>
      <c r="J2104" s="21"/>
      <c r="K2104" s="21"/>
      <c r="L2104" s="21"/>
      <c r="M2104" s="7"/>
      <c r="N2104" s="7"/>
      <c r="O2104" s="7"/>
      <c r="P2104" s="7"/>
      <c r="Q2104" s="7"/>
      <c r="R2104" s="7"/>
      <c r="S2104" s="7"/>
      <c r="T2104" s="7"/>
      <c r="U2104" s="7"/>
      <c r="V2104" s="7"/>
      <c r="W2104" s="7"/>
      <c r="X2104" s="7"/>
      <c r="Y2104" s="7"/>
      <c r="Z2104" s="7"/>
      <c r="AA2104" s="7"/>
      <c r="AB2104" s="7"/>
      <c r="AC2104" s="7"/>
      <c r="AD2104" s="7"/>
      <c r="AE2104" s="7"/>
    </row>
    <row r="2105">
      <c r="A2105" s="7"/>
      <c r="B2105" s="21"/>
      <c r="C2105" s="21"/>
      <c r="D2105" s="21"/>
      <c r="E2105" s="21"/>
      <c r="F2105" s="21"/>
      <c r="G2105" s="21"/>
      <c r="H2105" s="21"/>
      <c r="I2105" s="21"/>
      <c r="J2105" s="21"/>
      <c r="K2105" s="21"/>
      <c r="L2105" s="21"/>
      <c r="M2105" s="7"/>
      <c r="N2105" s="7"/>
      <c r="O2105" s="7"/>
      <c r="P2105" s="7"/>
      <c r="Q2105" s="7"/>
      <c r="R2105" s="7"/>
      <c r="S2105" s="7"/>
      <c r="T2105" s="7"/>
      <c r="U2105" s="7"/>
      <c r="V2105" s="7"/>
      <c r="W2105" s="7"/>
      <c r="X2105" s="7"/>
      <c r="Y2105" s="7"/>
      <c r="Z2105" s="7"/>
      <c r="AA2105" s="7"/>
      <c r="AB2105" s="7"/>
      <c r="AC2105" s="7"/>
      <c r="AD2105" s="7"/>
      <c r="AE2105" s="7"/>
    </row>
    <row r="2106">
      <c r="A2106" s="7"/>
      <c r="B2106" s="21"/>
      <c r="C2106" s="21"/>
      <c r="D2106" s="21"/>
      <c r="E2106" s="21"/>
      <c r="F2106" s="21"/>
      <c r="G2106" s="21"/>
      <c r="H2106" s="21"/>
      <c r="I2106" s="21"/>
      <c r="J2106" s="21"/>
      <c r="K2106" s="21"/>
      <c r="L2106" s="21"/>
      <c r="M2106" s="7"/>
      <c r="N2106" s="7"/>
      <c r="O2106" s="7"/>
      <c r="P2106" s="7"/>
      <c r="Q2106" s="7"/>
      <c r="R2106" s="7"/>
      <c r="S2106" s="7"/>
      <c r="T2106" s="7"/>
      <c r="U2106" s="7"/>
      <c r="V2106" s="7"/>
      <c r="W2106" s="7"/>
      <c r="X2106" s="7"/>
      <c r="Y2106" s="7"/>
      <c r="Z2106" s="7"/>
      <c r="AA2106" s="7"/>
      <c r="AB2106" s="7"/>
      <c r="AC2106" s="7"/>
      <c r="AD2106" s="7"/>
      <c r="AE2106" s="7"/>
    </row>
    <row r="2107">
      <c r="A2107" s="7"/>
      <c r="B2107" s="21"/>
      <c r="C2107" s="21"/>
      <c r="D2107" s="21"/>
      <c r="E2107" s="21"/>
      <c r="F2107" s="21"/>
      <c r="G2107" s="21"/>
      <c r="H2107" s="21"/>
      <c r="I2107" s="21"/>
      <c r="J2107" s="21"/>
      <c r="K2107" s="21"/>
      <c r="L2107" s="21"/>
      <c r="M2107" s="7"/>
      <c r="N2107" s="7"/>
      <c r="O2107" s="7"/>
      <c r="P2107" s="7"/>
      <c r="Q2107" s="7"/>
      <c r="R2107" s="7"/>
      <c r="S2107" s="7"/>
      <c r="T2107" s="7"/>
      <c r="U2107" s="7"/>
      <c r="V2107" s="7"/>
      <c r="W2107" s="7"/>
      <c r="X2107" s="7"/>
      <c r="Y2107" s="7"/>
      <c r="Z2107" s="7"/>
      <c r="AA2107" s="7"/>
      <c r="AB2107" s="7"/>
      <c r="AC2107" s="7"/>
      <c r="AD2107" s="7"/>
      <c r="AE2107" s="7"/>
    </row>
    <row r="2108">
      <c r="A2108" s="7"/>
      <c r="B2108" s="21"/>
      <c r="C2108" s="21"/>
      <c r="D2108" s="21"/>
      <c r="E2108" s="21"/>
      <c r="F2108" s="21"/>
      <c r="G2108" s="21"/>
      <c r="H2108" s="21"/>
      <c r="I2108" s="21"/>
      <c r="J2108" s="21"/>
      <c r="K2108" s="21"/>
      <c r="L2108" s="21"/>
      <c r="M2108" s="7"/>
      <c r="N2108" s="7"/>
      <c r="O2108" s="7"/>
      <c r="P2108" s="7"/>
      <c r="Q2108" s="7"/>
      <c r="R2108" s="7"/>
      <c r="S2108" s="7"/>
      <c r="T2108" s="7"/>
      <c r="U2108" s="7"/>
      <c r="V2108" s="7"/>
      <c r="W2108" s="7"/>
      <c r="X2108" s="7"/>
      <c r="Y2108" s="7"/>
      <c r="Z2108" s="7"/>
      <c r="AA2108" s="7"/>
      <c r="AB2108" s="7"/>
      <c r="AC2108" s="7"/>
      <c r="AD2108" s="7"/>
      <c r="AE2108" s="7"/>
    </row>
    <row r="2109">
      <c r="A2109" s="7"/>
      <c r="B2109" s="21"/>
      <c r="C2109" s="21"/>
      <c r="D2109" s="21"/>
      <c r="E2109" s="21"/>
      <c r="F2109" s="21"/>
      <c r="G2109" s="21"/>
      <c r="H2109" s="21"/>
      <c r="I2109" s="21"/>
      <c r="J2109" s="21"/>
      <c r="K2109" s="21"/>
      <c r="L2109" s="21"/>
      <c r="M2109" s="7"/>
      <c r="N2109" s="7"/>
      <c r="O2109" s="7"/>
      <c r="P2109" s="7"/>
      <c r="Q2109" s="7"/>
      <c r="R2109" s="7"/>
      <c r="S2109" s="7"/>
      <c r="T2109" s="7"/>
      <c r="U2109" s="7"/>
      <c r="V2109" s="7"/>
      <c r="W2109" s="7"/>
      <c r="X2109" s="7"/>
      <c r="Y2109" s="7"/>
      <c r="Z2109" s="7"/>
      <c r="AA2109" s="7"/>
      <c r="AB2109" s="7"/>
      <c r="AC2109" s="7"/>
      <c r="AD2109" s="7"/>
      <c r="AE2109" s="7"/>
    </row>
    <row r="2110">
      <c r="A2110" s="7"/>
      <c r="B2110" s="21"/>
      <c r="C2110" s="21"/>
      <c r="D2110" s="21"/>
      <c r="E2110" s="21"/>
      <c r="F2110" s="21"/>
      <c r="G2110" s="21"/>
      <c r="H2110" s="21"/>
      <c r="I2110" s="21"/>
      <c r="J2110" s="21"/>
      <c r="K2110" s="21"/>
      <c r="L2110" s="21"/>
      <c r="M2110" s="7"/>
      <c r="N2110" s="7"/>
      <c r="O2110" s="7"/>
      <c r="P2110" s="7"/>
      <c r="Q2110" s="7"/>
      <c r="R2110" s="7"/>
      <c r="S2110" s="7"/>
      <c r="T2110" s="7"/>
      <c r="U2110" s="7"/>
      <c r="V2110" s="7"/>
      <c r="W2110" s="7"/>
      <c r="X2110" s="7"/>
      <c r="Y2110" s="7"/>
      <c r="Z2110" s="7"/>
      <c r="AA2110" s="7"/>
      <c r="AB2110" s="7"/>
      <c r="AC2110" s="7"/>
      <c r="AD2110" s="7"/>
      <c r="AE2110" s="7"/>
    </row>
    <row r="2111">
      <c r="A2111" s="7"/>
      <c r="B2111" s="21"/>
      <c r="C2111" s="21"/>
      <c r="D2111" s="21"/>
      <c r="E2111" s="21"/>
      <c r="F2111" s="21"/>
      <c r="G2111" s="21"/>
      <c r="H2111" s="21"/>
      <c r="I2111" s="21"/>
      <c r="J2111" s="21"/>
      <c r="K2111" s="21"/>
      <c r="L2111" s="21"/>
      <c r="M2111" s="7"/>
      <c r="N2111" s="7"/>
      <c r="O2111" s="7"/>
      <c r="P2111" s="7"/>
      <c r="Q2111" s="7"/>
      <c r="R2111" s="7"/>
      <c r="S2111" s="7"/>
      <c r="T2111" s="7"/>
      <c r="U2111" s="7"/>
      <c r="V2111" s="7"/>
      <c r="W2111" s="7"/>
      <c r="X2111" s="7"/>
      <c r="Y2111" s="7"/>
      <c r="Z2111" s="7"/>
      <c r="AA2111" s="7"/>
      <c r="AB2111" s="7"/>
      <c r="AC2111" s="7"/>
      <c r="AD2111" s="7"/>
      <c r="AE2111" s="7"/>
    </row>
    <row r="2112">
      <c r="A2112" s="7"/>
      <c r="B2112" s="21"/>
      <c r="C2112" s="21"/>
      <c r="D2112" s="21"/>
      <c r="E2112" s="21"/>
      <c r="F2112" s="21"/>
      <c r="G2112" s="21"/>
      <c r="H2112" s="21"/>
      <c r="I2112" s="21"/>
      <c r="J2112" s="21"/>
      <c r="K2112" s="21"/>
      <c r="L2112" s="21"/>
      <c r="M2112" s="7"/>
      <c r="N2112" s="7"/>
      <c r="O2112" s="7"/>
      <c r="P2112" s="7"/>
      <c r="Q2112" s="7"/>
      <c r="R2112" s="7"/>
      <c r="S2112" s="7"/>
      <c r="T2112" s="7"/>
      <c r="U2112" s="7"/>
      <c r="V2112" s="7"/>
      <c r="W2112" s="7"/>
      <c r="X2112" s="7"/>
      <c r="Y2112" s="7"/>
      <c r="Z2112" s="7"/>
      <c r="AA2112" s="7"/>
      <c r="AB2112" s="7"/>
      <c r="AC2112" s="7"/>
      <c r="AD2112" s="7"/>
      <c r="AE2112" s="7"/>
    </row>
    <row r="2113">
      <c r="A2113" s="7"/>
      <c r="B2113" s="21"/>
      <c r="C2113" s="21"/>
      <c r="D2113" s="21"/>
      <c r="E2113" s="21"/>
      <c r="F2113" s="21"/>
      <c r="G2113" s="21"/>
      <c r="H2113" s="21"/>
      <c r="I2113" s="21"/>
      <c r="J2113" s="21"/>
      <c r="K2113" s="21"/>
      <c r="L2113" s="21"/>
      <c r="M2113" s="7"/>
      <c r="N2113" s="7"/>
      <c r="O2113" s="7"/>
      <c r="P2113" s="7"/>
      <c r="Q2113" s="7"/>
      <c r="R2113" s="7"/>
      <c r="S2113" s="7"/>
      <c r="T2113" s="7"/>
      <c r="U2113" s="7"/>
      <c r="V2113" s="7"/>
      <c r="W2113" s="7"/>
      <c r="X2113" s="7"/>
      <c r="Y2113" s="7"/>
      <c r="Z2113" s="7"/>
      <c r="AA2113" s="7"/>
      <c r="AB2113" s="7"/>
      <c r="AC2113" s="7"/>
      <c r="AD2113" s="7"/>
      <c r="AE2113" s="7"/>
    </row>
    <row r="2114">
      <c r="A2114" s="7"/>
      <c r="B2114" s="21"/>
      <c r="C2114" s="21"/>
      <c r="D2114" s="21"/>
      <c r="E2114" s="21"/>
      <c r="F2114" s="21"/>
      <c r="G2114" s="21"/>
      <c r="H2114" s="21"/>
      <c r="I2114" s="21"/>
      <c r="J2114" s="21"/>
      <c r="K2114" s="21"/>
      <c r="L2114" s="21"/>
      <c r="M2114" s="7"/>
      <c r="N2114" s="7"/>
      <c r="O2114" s="7"/>
      <c r="P2114" s="7"/>
      <c r="Q2114" s="7"/>
      <c r="R2114" s="7"/>
      <c r="S2114" s="7"/>
      <c r="T2114" s="7"/>
      <c r="U2114" s="7"/>
      <c r="V2114" s="7"/>
      <c r="W2114" s="7"/>
      <c r="X2114" s="7"/>
      <c r="Y2114" s="7"/>
      <c r="Z2114" s="7"/>
      <c r="AA2114" s="7"/>
      <c r="AB2114" s="7"/>
      <c r="AC2114" s="7"/>
      <c r="AD2114" s="7"/>
      <c r="AE2114" s="7"/>
    </row>
    <row r="2115">
      <c r="A2115" s="7"/>
      <c r="B2115" s="21"/>
      <c r="C2115" s="21"/>
      <c r="D2115" s="21"/>
      <c r="E2115" s="21"/>
      <c r="F2115" s="21"/>
      <c r="G2115" s="21"/>
      <c r="H2115" s="21"/>
      <c r="I2115" s="21"/>
      <c r="J2115" s="21"/>
      <c r="K2115" s="21"/>
      <c r="L2115" s="21"/>
      <c r="M2115" s="7"/>
      <c r="N2115" s="7"/>
      <c r="O2115" s="7"/>
      <c r="P2115" s="7"/>
      <c r="Q2115" s="7"/>
      <c r="R2115" s="7"/>
      <c r="S2115" s="7"/>
      <c r="T2115" s="7"/>
      <c r="U2115" s="7"/>
      <c r="V2115" s="7"/>
      <c r="W2115" s="7"/>
      <c r="X2115" s="7"/>
      <c r="Y2115" s="7"/>
      <c r="Z2115" s="7"/>
      <c r="AA2115" s="7"/>
      <c r="AB2115" s="7"/>
      <c r="AC2115" s="7"/>
      <c r="AD2115" s="7"/>
      <c r="AE2115" s="7"/>
    </row>
    <row r="2116">
      <c r="A2116" s="7"/>
      <c r="B2116" s="21"/>
      <c r="C2116" s="21"/>
      <c r="D2116" s="21"/>
      <c r="E2116" s="21"/>
      <c r="F2116" s="21"/>
      <c r="G2116" s="21"/>
      <c r="H2116" s="21"/>
      <c r="I2116" s="21"/>
      <c r="J2116" s="21"/>
      <c r="K2116" s="21"/>
      <c r="L2116" s="21"/>
      <c r="M2116" s="7"/>
      <c r="N2116" s="7"/>
      <c r="O2116" s="7"/>
      <c r="P2116" s="7"/>
      <c r="Q2116" s="7"/>
      <c r="R2116" s="7"/>
      <c r="S2116" s="7"/>
      <c r="T2116" s="7"/>
      <c r="U2116" s="7"/>
      <c r="V2116" s="7"/>
      <c r="W2116" s="7"/>
      <c r="X2116" s="7"/>
      <c r="Y2116" s="7"/>
      <c r="Z2116" s="7"/>
      <c r="AA2116" s="7"/>
      <c r="AB2116" s="7"/>
      <c r="AC2116" s="7"/>
      <c r="AD2116" s="7"/>
      <c r="AE2116" s="7"/>
    </row>
    <row r="2117">
      <c r="A2117" s="7"/>
      <c r="B2117" s="21"/>
      <c r="C2117" s="21"/>
      <c r="D2117" s="21"/>
      <c r="E2117" s="21"/>
      <c r="F2117" s="21"/>
      <c r="G2117" s="21"/>
      <c r="H2117" s="21"/>
      <c r="I2117" s="21"/>
      <c r="J2117" s="21"/>
      <c r="K2117" s="21"/>
      <c r="L2117" s="21"/>
      <c r="M2117" s="7"/>
      <c r="N2117" s="7"/>
      <c r="O2117" s="7"/>
      <c r="P2117" s="7"/>
      <c r="Q2117" s="7"/>
      <c r="R2117" s="7"/>
      <c r="S2117" s="7"/>
      <c r="T2117" s="7"/>
      <c r="U2117" s="7"/>
      <c r="V2117" s="7"/>
      <c r="W2117" s="7"/>
      <c r="X2117" s="7"/>
      <c r="Y2117" s="7"/>
      <c r="Z2117" s="7"/>
      <c r="AA2117" s="7"/>
      <c r="AB2117" s="7"/>
      <c r="AC2117" s="7"/>
      <c r="AD2117" s="7"/>
      <c r="AE2117" s="7"/>
    </row>
    <row r="2118">
      <c r="A2118" s="7"/>
      <c r="B2118" s="21"/>
      <c r="C2118" s="21"/>
      <c r="D2118" s="21"/>
      <c r="E2118" s="21"/>
      <c r="F2118" s="21"/>
      <c r="G2118" s="21"/>
      <c r="H2118" s="21"/>
      <c r="I2118" s="21"/>
      <c r="J2118" s="21"/>
      <c r="K2118" s="21"/>
      <c r="L2118" s="21"/>
      <c r="M2118" s="7"/>
      <c r="N2118" s="7"/>
      <c r="O2118" s="7"/>
      <c r="P2118" s="7"/>
      <c r="Q2118" s="7"/>
      <c r="R2118" s="7"/>
      <c r="S2118" s="7"/>
      <c r="T2118" s="7"/>
      <c r="U2118" s="7"/>
      <c r="V2118" s="7"/>
      <c r="W2118" s="7"/>
      <c r="X2118" s="7"/>
      <c r="Y2118" s="7"/>
      <c r="Z2118" s="7"/>
      <c r="AA2118" s="7"/>
      <c r="AB2118" s="7"/>
      <c r="AC2118" s="7"/>
      <c r="AD2118" s="7"/>
      <c r="AE2118" s="7"/>
    </row>
    <row r="2119">
      <c r="A2119" s="7"/>
      <c r="B2119" s="21"/>
      <c r="C2119" s="21"/>
      <c r="D2119" s="21"/>
      <c r="E2119" s="21"/>
      <c r="F2119" s="21"/>
      <c r="G2119" s="21"/>
      <c r="H2119" s="21"/>
      <c r="I2119" s="21"/>
      <c r="J2119" s="21"/>
      <c r="K2119" s="21"/>
      <c r="L2119" s="21"/>
      <c r="M2119" s="7"/>
      <c r="N2119" s="7"/>
      <c r="O2119" s="7"/>
      <c r="P2119" s="7"/>
      <c r="Q2119" s="7"/>
      <c r="R2119" s="7"/>
      <c r="S2119" s="7"/>
      <c r="T2119" s="7"/>
      <c r="U2119" s="7"/>
      <c r="V2119" s="7"/>
      <c r="W2119" s="7"/>
      <c r="X2119" s="7"/>
      <c r="Y2119" s="7"/>
      <c r="Z2119" s="7"/>
      <c r="AA2119" s="7"/>
      <c r="AB2119" s="7"/>
      <c r="AC2119" s="7"/>
      <c r="AD2119" s="7"/>
      <c r="AE2119" s="7"/>
    </row>
    <row r="2120">
      <c r="A2120" s="7"/>
      <c r="B2120" s="21"/>
      <c r="C2120" s="21"/>
      <c r="D2120" s="21"/>
      <c r="E2120" s="21"/>
      <c r="F2120" s="21"/>
      <c r="G2120" s="21"/>
      <c r="H2120" s="21"/>
      <c r="I2120" s="21"/>
      <c r="J2120" s="21"/>
      <c r="K2120" s="21"/>
      <c r="L2120" s="21"/>
      <c r="M2120" s="7"/>
      <c r="N2120" s="7"/>
      <c r="O2120" s="7"/>
      <c r="P2120" s="7"/>
      <c r="Q2120" s="7"/>
      <c r="R2120" s="7"/>
      <c r="S2120" s="7"/>
      <c r="T2120" s="7"/>
      <c r="U2120" s="7"/>
      <c r="V2120" s="7"/>
      <c r="W2120" s="7"/>
      <c r="X2120" s="7"/>
      <c r="Y2120" s="7"/>
      <c r="Z2120" s="7"/>
      <c r="AA2120" s="7"/>
      <c r="AB2120" s="7"/>
      <c r="AC2120" s="7"/>
      <c r="AD2120" s="7"/>
      <c r="AE2120" s="7"/>
    </row>
    <row r="2121">
      <c r="A2121" s="7"/>
      <c r="B2121" s="21"/>
      <c r="C2121" s="21"/>
      <c r="D2121" s="21"/>
      <c r="E2121" s="21"/>
      <c r="F2121" s="21"/>
      <c r="G2121" s="21"/>
      <c r="H2121" s="21"/>
      <c r="I2121" s="21"/>
      <c r="J2121" s="21"/>
      <c r="K2121" s="21"/>
      <c r="L2121" s="21"/>
      <c r="M2121" s="7"/>
      <c r="N2121" s="7"/>
      <c r="O2121" s="7"/>
      <c r="P2121" s="7"/>
      <c r="Q2121" s="7"/>
      <c r="R2121" s="7"/>
      <c r="S2121" s="7"/>
      <c r="T2121" s="7"/>
      <c r="U2121" s="7"/>
      <c r="V2121" s="7"/>
      <c r="W2121" s="7"/>
      <c r="X2121" s="7"/>
      <c r="Y2121" s="7"/>
      <c r="Z2121" s="7"/>
      <c r="AA2121" s="7"/>
      <c r="AB2121" s="7"/>
      <c r="AC2121" s="7"/>
      <c r="AD2121" s="7"/>
      <c r="AE2121" s="7"/>
    </row>
    <row r="2122">
      <c r="A2122" s="7"/>
      <c r="B2122" s="21"/>
      <c r="C2122" s="21"/>
      <c r="D2122" s="21"/>
      <c r="E2122" s="21"/>
      <c r="F2122" s="21"/>
      <c r="G2122" s="21"/>
      <c r="H2122" s="21"/>
      <c r="I2122" s="21"/>
      <c r="J2122" s="21"/>
      <c r="K2122" s="21"/>
      <c r="L2122" s="21"/>
      <c r="M2122" s="7"/>
      <c r="N2122" s="7"/>
      <c r="O2122" s="7"/>
      <c r="P2122" s="7"/>
      <c r="Q2122" s="7"/>
      <c r="R2122" s="7"/>
      <c r="S2122" s="7"/>
      <c r="T2122" s="7"/>
      <c r="U2122" s="7"/>
      <c r="V2122" s="7"/>
      <c r="W2122" s="7"/>
      <c r="X2122" s="7"/>
      <c r="Y2122" s="7"/>
      <c r="Z2122" s="7"/>
      <c r="AA2122" s="7"/>
      <c r="AB2122" s="7"/>
      <c r="AC2122" s="7"/>
      <c r="AD2122" s="7"/>
      <c r="AE2122" s="7"/>
    </row>
    <row r="2123">
      <c r="A2123" s="7"/>
      <c r="B2123" s="21"/>
      <c r="C2123" s="21"/>
      <c r="D2123" s="21"/>
      <c r="E2123" s="21"/>
      <c r="F2123" s="21"/>
      <c r="G2123" s="21"/>
      <c r="H2123" s="21"/>
      <c r="I2123" s="21"/>
      <c r="J2123" s="21"/>
      <c r="K2123" s="21"/>
      <c r="L2123" s="21"/>
      <c r="M2123" s="7"/>
      <c r="N2123" s="7"/>
      <c r="O2123" s="7"/>
      <c r="P2123" s="7"/>
      <c r="Q2123" s="7"/>
      <c r="R2123" s="7"/>
      <c r="S2123" s="7"/>
      <c r="T2123" s="7"/>
      <c r="U2123" s="7"/>
      <c r="V2123" s="7"/>
      <c r="W2123" s="7"/>
      <c r="X2123" s="7"/>
      <c r="Y2123" s="7"/>
      <c r="Z2123" s="7"/>
      <c r="AA2123" s="7"/>
      <c r="AB2123" s="7"/>
      <c r="AC2123" s="7"/>
      <c r="AD2123" s="7"/>
      <c r="AE2123" s="7"/>
    </row>
    <row r="2124">
      <c r="A2124" s="7"/>
      <c r="B2124" s="21"/>
      <c r="C2124" s="21"/>
      <c r="D2124" s="21"/>
      <c r="E2124" s="21"/>
      <c r="F2124" s="21"/>
      <c r="G2124" s="21"/>
      <c r="H2124" s="21"/>
      <c r="I2124" s="21"/>
      <c r="J2124" s="21"/>
      <c r="K2124" s="21"/>
      <c r="L2124" s="21"/>
      <c r="M2124" s="7"/>
      <c r="N2124" s="7"/>
      <c r="O2124" s="7"/>
      <c r="P2124" s="7"/>
      <c r="Q2124" s="7"/>
      <c r="R2124" s="7"/>
      <c r="S2124" s="7"/>
      <c r="T2124" s="7"/>
      <c r="U2124" s="7"/>
      <c r="V2124" s="7"/>
      <c r="W2124" s="7"/>
      <c r="X2124" s="7"/>
      <c r="Y2124" s="7"/>
      <c r="Z2124" s="7"/>
      <c r="AA2124" s="7"/>
      <c r="AB2124" s="7"/>
      <c r="AC2124" s="7"/>
      <c r="AD2124" s="7"/>
      <c r="AE2124" s="7"/>
    </row>
    <row r="2125">
      <c r="A2125" s="7"/>
      <c r="B2125" s="21"/>
      <c r="C2125" s="21"/>
      <c r="D2125" s="21"/>
      <c r="E2125" s="21"/>
      <c r="F2125" s="21"/>
      <c r="G2125" s="21"/>
      <c r="H2125" s="21"/>
      <c r="I2125" s="21"/>
      <c r="J2125" s="21"/>
      <c r="K2125" s="21"/>
      <c r="L2125" s="21"/>
      <c r="M2125" s="7"/>
      <c r="N2125" s="7"/>
      <c r="O2125" s="7"/>
      <c r="P2125" s="7"/>
      <c r="Q2125" s="7"/>
      <c r="R2125" s="7"/>
      <c r="S2125" s="7"/>
      <c r="T2125" s="7"/>
      <c r="U2125" s="7"/>
      <c r="V2125" s="7"/>
      <c r="W2125" s="7"/>
      <c r="X2125" s="7"/>
      <c r="Y2125" s="7"/>
      <c r="Z2125" s="7"/>
      <c r="AA2125" s="7"/>
      <c r="AB2125" s="7"/>
      <c r="AC2125" s="7"/>
      <c r="AD2125" s="7"/>
      <c r="AE2125" s="7"/>
    </row>
    <row r="2126">
      <c r="A2126" s="7"/>
      <c r="B2126" s="21"/>
      <c r="C2126" s="21"/>
      <c r="D2126" s="21"/>
      <c r="E2126" s="21"/>
      <c r="F2126" s="21"/>
      <c r="G2126" s="21"/>
      <c r="H2126" s="21"/>
      <c r="I2126" s="21"/>
      <c r="J2126" s="21"/>
      <c r="K2126" s="21"/>
      <c r="L2126" s="21"/>
      <c r="M2126" s="7"/>
      <c r="N2126" s="7"/>
      <c r="O2126" s="7"/>
      <c r="P2126" s="7"/>
      <c r="Q2126" s="7"/>
      <c r="R2126" s="7"/>
      <c r="S2126" s="7"/>
      <c r="T2126" s="7"/>
      <c r="U2126" s="7"/>
      <c r="V2126" s="7"/>
      <c r="W2126" s="7"/>
      <c r="X2126" s="7"/>
      <c r="Y2126" s="7"/>
      <c r="Z2126" s="7"/>
      <c r="AA2126" s="7"/>
      <c r="AB2126" s="7"/>
      <c r="AC2126" s="7"/>
      <c r="AD2126" s="7"/>
      <c r="AE2126" s="7"/>
    </row>
    <row r="2127">
      <c r="A2127" s="7"/>
      <c r="B2127" s="21"/>
      <c r="C2127" s="21"/>
      <c r="D2127" s="21"/>
      <c r="E2127" s="21"/>
      <c r="F2127" s="21"/>
      <c r="G2127" s="21"/>
      <c r="H2127" s="21"/>
      <c r="I2127" s="21"/>
      <c r="J2127" s="21"/>
      <c r="K2127" s="21"/>
      <c r="L2127" s="21"/>
      <c r="M2127" s="7"/>
      <c r="N2127" s="7"/>
      <c r="O2127" s="7"/>
      <c r="P2127" s="7"/>
      <c r="Q2127" s="7"/>
      <c r="R2127" s="7"/>
      <c r="S2127" s="7"/>
      <c r="T2127" s="7"/>
      <c r="U2127" s="7"/>
      <c r="V2127" s="7"/>
      <c r="W2127" s="7"/>
      <c r="X2127" s="7"/>
      <c r="Y2127" s="7"/>
      <c r="Z2127" s="7"/>
      <c r="AA2127" s="7"/>
      <c r="AB2127" s="7"/>
      <c r="AC2127" s="7"/>
      <c r="AD2127" s="7"/>
      <c r="AE2127" s="7"/>
    </row>
    <row r="2128">
      <c r="A2128" s="7"/>
      <c r="B2128" s="21"/>
      <c r="C2128" s="21"/>
      <c r="D2128" s="21"/>
      <c r="E2128" s="21"/>
      <c r="F2128" s="21"/>
      <c r="G2128" s="21"/>
      <c r="H2128" s="21"/>
      <c r="I2128" s="21"/>
      <c r="J2128" s="21"/>
      <c r="K2128" s="21"/>
      <c r="L2128" s="21"/>
      <c r="M2128" s="7"/>
      <c r="N2128" s="7"/>
      <c r="O2128" s="7"/>
      <c r="P2128" s="7"/>
      <c r="Q2128" s="7"/>
      <c r="R2128" s="7"/>
      <c r="S2128" s="7"/>
      <c r="T2128" s="7"/>
      <c r="U2128" s="7"/>
      <c r="V2128" s="7"/>
      <c r="W2128" s="7"/>
      <c r="X2128" s="7"/>
      <c r="Y2128" s="7"/>
      <c r="Z2128" s="7"/>
      <c r="AA2128" s="7"/>
      <c r="AB2128" s="7"/>
      <c r="AC2128" s="7"/>
      <c r="AD2128" s="7"/>
      <c r="AE2128" s="7"/>
    </row>
    <row r="2129">
      <c r="A2129" s="7"/>
      <c r="B2129" s="21"/>
      <c r="C2129" s="21"/>
      <c r="D2129" s="21"/>
      <c r="E2129" s="21"/>
      <c r="F2129" s="21"/>
      <c r="G2129" s="21"/>
      <c r="H2129" s="21"/>
      <c r="I2129" s="21"/>
      <c r="J2129" s="21"/>
      <c r="K2129" s="21"/>
      <c r="L2129" s="21"/>
      <c r="M2129" s="7"/>
      <c r="N2129" s="7"/>
      <c r="O2129" s="7"/>
      <c r="P2129" s="7"/>
      <c r="Q2129" s="7"/>
      <c r="R2129" s="7"/>
      <c r="S2129" s="7"/>
      <c r="T2129" s="7"/>
      <c r="U2129" s="7"/>
      <c r="V2129" s="7"/>
      <c r="W2129" s="7"/>
      <c r="X2129" s="7"/>
      <c r="Y2129" s="7"/>
      <c r="Z2129" s="7"/>
      <c r="AA2129" s="7"/>
      <c r="AB2129" s="7"/>
      <c r="AC2129" s="7"/>
      <c r="AD2129" s="7"/>
      <c r="AE2129" s="7"/>
    </row>
    <row r="2130">
      <c r="A2130" s="7"/>
      <c r="B2130" s="21"/>
      <c r="C2130" s="21"/>
      <c r="D2130" s="21"/>
      <c r="E2130" s="21"/>
      <c r="F2130" s="21"/>
      <c r="G2130" s="21"/>
      <c r="H2130" s="21"/>
      <c r="I2130" s="21"/>
      <c r="J2130" s="21"/>
      <c r="K2130" s="21"/>
      <c r="L2130" s="21"/>
      <c r="M2130" s="7"/>
      <c r="N2130" s="7"/>
      <c r="O2130" s="7"/>
      <c r="P2130" s="7"/>
      <c r="Q2130" s="7"/>
      <c r="R2130" s="7"/>
      <c r="S2130" s="7"/>
      <c r="T2130" s="7"/>
      <c r="U2130" s="7"/>
      <c r="V2130" s="7"/>
      <c r="W2130" s="7"/>
      <c r="X2130" s="7"/>
      <c r="Y2130" s="7"/>
      <c r="Z2130" s="7"/>
      <c r="AA2130" s="7"/>
      <c r="AB2130" s="7"/>
      <c r="AC2130" s="7"/>
      <c r="AD2130" s="7"/>
      <c r="AE2130" s="7"/>
    </row>
    <row r="2131">
      <c r="A2131" s="7"/>
      <c r="B2131" s="21"/>
      <c r="C2131" s="21"/>
      <c r="D2131" s="21"/>
      <c r="E2131" s="21"/>
      <c r="F2131" s="21"/>
      <c r="G2131" s="21"/>
      <c r="H2131" s="21"/>
      <c r="I2131" s="21"/>
      <c r="J2131" s="21"/>
      <c r="K2131" s="21"/>
      <c r="L2131" s="21"/>
      <c r="M2131" s="7"/>
      <c r="N2131" s="7"/>
      <c r="O2131" s="7"/>
      <c r="P2131" s="7"/>
      <c r="Q2131" s="7"/>
      <c r="R2131" s="7"/>
      <c r="S2131" s="7"/>
      <c r="T2131" s="7"/>
      <c r="U2131" s="7"/>
      <c r="V2131" s="7"/>
      <c r="W2131" s="7"/>
      <c r="X2131" s="7"/>
      <c r="Y2131" s="7"/>
      <c r="Z2131" s="7"/>
      <c r="AA2131" s="7"/>
      <c r="AB2131" s="7"/>
      <c r="AC2131" s="7"/>
      <c r="AD2131" s="7"/>
      <c r="AE2131" s="7"/>
    </row>
    <row r="2132">
      <c r="A2132" s="7"/>
      <c r="B2132" s="21"/>
      <c r="C2132" s="21"/>
      <c r="D2132" s="21"/>
      <c r="E2132" s="21"/>
      <c r="F2132" s="21"/>
      <c r="G2132" s="21"/>
      <c r="H2132" s="21"/>
      <c r="I2132" s="21"/>
      <c r="J2132" s="21"/>
      <c r="K2132" s="21"/>
      <c r="L2132" s="21"/>
      <c r="M2132" s="7"/>
      <c r="N2132" s="7"/>
      <c r="O2132" s="7"/>
      <c r="P2132" s="7"/>
      <c r="Q2132" s="7"/>
      <c r="R2132" s="7"/>
      <c r="S2132" s="7"/>
      <c r="T2132" s="7"/>
      <c r="U2132" s="7"/>
      <c r="V2132" s="7"/>
      <c r="W2132" s="7"/>
      <c r="X2132" s="7"/>
      <c r="Y2132" s="7"/>
      <c r="Z2132" s="7"/>
      <c r="AA2132" s="7"/>
      <c r="AB2132" s="7"/>
      <c r="AC2132" s="7"/>
      <c r="AD2132" s="7"/>
      <c r="AE2132" s="7"/>
    </row>
    <row r="2133">
      <c r="A2133" s="7"/>
      <c r="B2133" s="21"/>
      <c r="C2133" s="21"/>
      <c r="D2133" s="21"/>
      <c r="E2133" s="21"/>
      <c r="F2133" s="21"/>
      <c r="G2133" s="21"/>
      <c r="H2133" s="21"/>
      <c r="I2133" s="21"/>
      <c r="J2133" s="21"/>
      <c r="K2133" s="21"/>
      <c r="L2133" s="21"/>
      <c r="M2133" s="7"/>
      <c r="N2133" s="7"/>
      <c r="O2133" s="7"/>
      <c r="P2133" s="7"/>
      <c r="Q2133" s="7"/>
      <c r="R2133" s="7"/>
      <c r="S2133" s="7"/>
      <c r="T2133" s="7"/>
      <c r="U2133" s="7"/>
      <c r="V2133" s="7"/>
      <c r="W2133" s="7"/>
      <c r="X2133" s="7"/>
      <c r="Y2133" s="7"/>
      <c r="Z2133" s="7"/>
      <c r="AA2133" s="7"/>
      <c r="AB2133" s="7"/>
      <c r="AC2133" s="7"/>
      <c r="AD2133" s="7"/>
      <c r="AE2133" s="7"/>
    </row>
    <row r="2134">
      <c r="A2134" s="7"/>
      <c r="B2134" s="21"/>
      <c r="C2134" s="21"/>
      <c r="D2134" s="21"/>
      <c r="E2134" s="21"/>
      <c r="F2134" s="21"/>
      <c r="G2134" s="21"/>
      <c r="H2134" s="21"/>
      <c r="I2134" s="21"/>
      <c r="J2134" s="21"/>
      <c r="K2134" s="21"/>
      <c r="L2134" s="21"/>
      <c r="M2134" s="7"/>
      <c r="N2134" s="7"/>
      <c r="O2134" s="7"/>
      <c r="P2134" s="7"/>
      <c r="Q2134" s="7"/>
      <c r="R2134" s="7"/>
      <c r="S2134" s="7"/>
      <c r="T2134" s="7"/>
      <c r="U2134" s="7"/>
      <c r="V2134" s="7"/>
      <c r="W2134" s="7"/>
      <c r="X2134" s="7"/>
      <c r="Y2134" s="7"/>
      <c r="Z2134" s="7"/>
      <c r="AA2134" s="7"/>
      <c r="AB2134" s="7"/>
      <c r="AC2134" s="7"/>
      <c r="AD2134" s="7"/>
      <c r="AE2134" s="7"/>
    </row>
    <row r="2135">
      <c r="A2135" s="7"/>
      <c r="B2135" s="21"/>
      <c r="C2135" s="21"/>
      <c r="D2135" s="21"/>
      <c r="E2135" s="21"/>
      <c r="F2135" s="21"/>
      <c r="G2135" s="21"/>
      <c r="H2135" s="21"/>
      <c r="I2135" s="21"/>
      <c r="J2135" s="21"/>
      <c r="K2135" s="21"/>
      <c r="L2135" s="21"/>
      <c r="M2135" s="7"/>
      <c r="N2135" s="7"/>
      <c r="O2135" s="7"/>
      <c r="P2135" s="7"/>
      <c r="Q2135" s="7"/>
      <c r="R2135" s="7"/>
      <c r="S2135" s="7"/>
      <c r="T2135" s="7"/>
      <c r="U2135" s="7"/>
      <c r="V2135" s="7"/>
      <c r="W2135" s="7"/>
      <c r="X2135" s="7"/>
      <c r="Y2135" s="7"/>
      <c r="Z2135" s="7"/>
      <c r="AA2135" s="7"/>
      <c r="AB2135" s="7"/>
      <c r="AC2135" s="7"/>
      <c r="AD2135" s="7"/>
      <c r="AE2135" s="7"/>
    </row>
    <row r="2136">
      <c r="A2136" s="7"/>
      <c r="B2136" s="21"/>
      <c r="C2136" s="21"/>
      <c r="D2136" s="21"/>
      <c r="E2136" s="21"/>
      <c r="F2136" s="21"/>
      <c r="G2136" s="21"/>
      <c r="H2136" s="21"/>
      <c r="I2136" s="21"/>
      <c r="J2136" s="21"/>
      <c r="K2136" s="21"/>
      <c r="L2136" s="21"/>
      <c r="M2136" s="7"/>
      <c r="N2136" s="7"/>
      <c r="O2136" s="7"/>
      <c r="P2136" s="7"/>
      <c r="Q2136" s="7"/>
      <c r="R2136" s="7"/>
      <c r="S2136" s="7"/>
      <c r="T2136" s="7"/>
      <c r="U2136" s="7"/>
      <c r="V2136" s="7"/>
      <c r="W2136" s="7"/>
      <c r="X2136" s="7"/>
      <c r="Y2136" s="7"/>
      <c r="Z2136" s="7"/>
      <c r="AA2136" s="7"/>
      <c r="AB2136" s="7"/>
      <c r="AC2136" s="7"/>
      <c r="AD2136" s="7"/>
      <c r="AE2136" s="7"/>
    </row>
    <row r="2137">
      <c r="A2137" s="7"/>
      <c r="B2137" s="21"/>
      <c r="C2137" s="21"/>
      <c r="D2137" s="21"/>
      <c r="E2137" s="21"/>
      <c r="F2137" s="21"/>
      <c r="G2137" s="21"/>
      <c r="H2137" s="21"/>
      <c r="I2137" s="21"/>
      <c r="J2137" s="21"/>
      <c r="K2137" s="21"/>
      <c r="L2137" s="21"/>
      <c r="M2137" s="7"/>
      <c r="N2137" s="7"/>
      <c r="O2137" s="7"/>
      <c r="P2137" s="7"/>
      <c r="Q2137" s="7"/>
      <c r="R2137" s="7"/>
      <c r="S2137" s="7"/>
      <c r="T2137" s="7"/>
      <c r="U2137" s="7"/>
      <c r="V2137" s="7"/>
      <c r="W2137" s="7"/>
      <c r="X2137" s="7"/>
      <c r="Y2137" s="7"/>
      <c r="Z2137" s="7"/>
      <c r="AA2137" s="7"/>
      <c r="AB2137" s="7"/>
      <c r="AC2137" s="7"/>
      <c r="AD2137" s="7"/>
      <c r="AE2137" s="7"/>
    </row>
    <row r="2138">
      <c r="A2138" s="7"/>
      <c r="B2138" s="21"/>
      <c r="C2138" s="21"/>
      <c r="D2138" s="21"/>
      <c r="E2138" s="21"/>
      <c r="F2138" s="21"/>
      <c r="G2138" s="21"/>
      <c r="H2138" s="21"/>
      <c r="I2138" s="21"/>
      <c r="J2138" s="21"/>
      <c r="K2138" s="21"/>
      <c r="L2138" s="21"/>
      <c r="M2138" s="7"/>
      <c r="N2138" s="7"/>
      <c r="O2138" s="7"/>
      <c r="P2138" s="7"/>
      <c r="Q2138" s="7"/>
      <c r="R2138" s="7"/>
      <c r="S2138" s="7"/>
      <c r="T2138" s="7"/>
      <c r="U2138" s="7"/>
      <c r="V2138" s="7"/>
      <c r="W2138" s="7"/>
      <c r="X2138" s="7"/>
      <c r="Y2138" s="7"/>
      <c r="Z2138" s="7"/>
      <c r="AA2138" s="7"/>
      <c r="AB2138" s="7"/>
      <c r="AC2138" s="7"/>
      <c r="AD2138" s="7"/>
      <c r="AE2138" s="7"/>
    </row>
    <row r="2139">
      <c r="A2139" s="7"/>
      <c r="B2139" s="21"/>
      <c r="C2139" s="21"/>
      <c r="D2139" s="21"/>
      <c r="E2139" s="21"/>
      <c r="F2139" s="21"/>
      <c r="G2139" s="21"/>
      <c r="H2139" s="21"/>
      <c r="I2139" s="21"/>
      <c r="J2139" s="21"/>
      <c r="K2139" s="21"/>
      <c r="L2139" s="21"/>
      <c r="M2139" s="7"/>
      <c r="N2139" s="7"/>
      <c r="O2139" s="7"/>
      <c r="P2139" s="7"/>
      <c r="Q2139" s="7"/>
      <c r="R2139" s="7"/>
      <c r="S2139" s="7"/>
      <c r="T2139" s="7"/>
      <c r="U2139" s="7"/>
      <c r="V2139" s="7"/>
      <c r="W2139" s="7"/>
      <c r="X2139" s="7"/>
      <c r="Y2139" s="7"/>
      <c r="Z2139" s="7"/>
      <c r="AA2139" s="7"/>
      <c r="AB2139" s="7"/>
      <c r="AC2139" s="7"/>
      <c r="AD2139" s="7"/>
      <c r="AE2139" s="7"/>
    </row>
    <row r="2140">
      <c r="A2140" s="7"/>
      <c r="B2140" s="21"/>
      <c r="C2140" s="21"/>
      <c r="D2140" s="21"/>
      <c r="E2140" s="21"/>
      <c r="F2140" s="21"/>
      <c r="G2140" s="21"/>
      <c r="H2140" s="21"/>
      <c r="I2140" s="21"/>
      <c r="J2140" s="21"/>
      <c r="K2140" s="21"/>
      <c r="L2140" s="21"/>
      <c r="M2140" s="7"/>
      <c r="N2140" s="7"/>
      <c r="O2140" s="7"/>
      <c r="P2140" s="7"/>
      <c r="Q2140" s="7"/>
      <c r="R2140" s="7"/>
      <c r="S2140" s="7"/>
      <c r="T2140" s="7"/>
      <c r="U2140" s="7"/>
      <c r="V2140" s="7"/>
      <c r="W2140" s="7"/>
      <c r="X2140" s="7"/>
      <c r="Y2140" s="7"/>
      <c r="Z2140" s="7"/>
      <c r="AA2140" s="7"/>
      <c r="AB2140" s="7"/>
      <c r="AC2140" s="7"/>
      <c r="AD2140" s="7"/>
      <c r="AE2140" s="7"/>
    </row>
    <row r="2141">
      <c r="A2141" s="7"/>
      <c r="B2141" s="21"/>
      <c r="C2141" s="21"/>
      <c r="D2141" s="21"/>
      <c r="E2141" s="21"/>
      <c r="F2141" s="21"/>
      <c r="G2141" s="21"/>
      <c r="H2141" s="21"/>
      <c r="I2141" s="21"/>
      <c r="J2141" s="21"/>
      <c r="K2141" s="21"/>
      <c r="L2141" s="21"/>
      <c r="M2141" s="7"/>
      <c r="N2141" s="7"/>
      <c r="O2141" s="7"/>
      <c r="P2141" s="7"/>
      <c r="Q2141" s="7"/>
      <c r="R2141" s="7"/>
      <c r="S2141" s="7"/>
      <c r="T2141" s="7"/>
      <c r="U2141" s="7"/>
      <c r="V2141" s="7"/>
      <c r="W2141" s="7"/>
      <c r="X2141" s="7"/>
      <c r="Y2141" s="7"/>
      <c r="Z2141" s="7"/>
      <c r="AA2141" s="7"/>
      <c r="AB2141" s="7"/>
      <c r="AC2141" s="7"/>
      <c r="AD2141" s="7"/>
      <c r="AE2141" s="7"/>
    </row>
    <row r="2142">
      <c r="A2142" s="7"/>
      <c r="B2142" s="21"/>
      <c r="C2142" s="21"/>
      <c r="D2142" s="21"/>
      <c r="E2142" s="21"/>
      <c r="F2142" s="21"/>
      <c r="G2142" s="21"/>
      <c r="H2142" s="21"/>
      <c r="I2142" s="21"/>
      <c r="J2142" s="21"/>
      <c r="K2142" s="21"/>
      <c r="L2142" s="21"/>
      <c r="M2142" s="7"/>
      <c r="N2142" s="7"/>
      <c r="O2142" s="7"/>
      <c r="P2142" s="7"/>
      <c r="Q2142" s="7"/>
      <c r="R2142" s="7"/>
      <c r="S2142" s="7"/>
      <c r="T2142" s="7"/>
      <c r="U2142" s="7"/>
      <c r="V2142" s="7"/>
      <c r="W2142" s="7"/>
      <c r="X2142" s="7"/>
      <c r="Y2142" s="7"/>
      <c r="Z2142" s="7"/>
      <c r="AA2142" s="7"/>
      <c r="AB2142" s="7"/>
      <c r="AC2142" s="7"/>
      <c r="AD2142" s="7"/>
      <c r="AE2142" s="7"/>
    </row>
    <row r="2143">
      <c r="A2143" s="7"/>
      <c r="B2143" s="21"/>
      <c r="C2143" s="21"/>
      <c r="D2143" s="21"/>
      <c r="E2143" s="21"/>
      <c r="F2143" s="21"/>
      <c r="G2143" s="21"/>
      <c r="H2143" s="21"/>
      <c r="I2143" s="21"/>
      <c r="J2143" s="21"/>
      <c r="K2143" s="21"/>
      <c r="L2143" s="21"/>
      <c r="M2143" s="7"/>
      <c r="N2143" s="7"/>
      <c r="O2143" s="7"/>
      <c r="P2143" s="7"/>
      <c r="Q2143" s="7"/>
      <c r="R2143" s="7"/>
      <c r="S2143" s="7"/>
      <c r="T2143" s="7"/>
      <c r="U2143" s="7"/>
      <c r="V2143" s="7"/>
      <c r="W2143" s="7"/>
      <c r="X2143" s="7"/>
      <c r="Y2143" s="7"/>
      <c r="Z2143" s="7"/>
      <c r="AA2143" s="7"/>
      <c r="AB2143" s="7"/>
      <c r="AC2143" s="7"/>
      <c r="AD2143" s="7"/>
      <c r="AE2143" s="7"/>
    </row>
    <row r="2144">
      <c r="A2144" s="7"/>
      <c r="B2144" s="21"/>
      <c r="C2144" s="21"/>
      <c r="D2144" s="21"/>
      <c r="E2144" s="21"/>
      <c r="F2144" s="21"/>
      <c r="G2144" s="21"/>
      <c r="H2144" s="21"/>
      <c r="I2144" s="21"/>
      <c r="J2144" s="21"/>
      <c r="K2144" s="21"/>
      <c r="L2144" s="21"/>
      <c r="M2144" s="7"/>
      <c r="N2144" s="7"/>
      <c r="O2144" s="7"/>
      <c r="P2144" s="7"/>
      <c r="Q2144" s="7"/>
      <c r="R2144" s="7"/>
      <c r="S2144" s="7"/>
      <c r="T2144" s="7"/>
      <c r="U2144" s="7"/>
      <c r="V2144" s="7"/>
      <c r="W2144" s="7"/>
      <c r="X2144" s="7"/>
      <c r="Y2144" s="7"/>
      <c r="Z2144" s="7"/>
      <c r="AA2144" s="7"/>
      <c r="AB2144" s="7"/>
      <c r="AC2144" s="7"/>
      <c r="AD2144" s="7"/>
      <c r="AE2144" s="7"/>
    </row>
    <row r="2145">
      <c r="A2145" s="7"/>
      <c r="B2145" s="21"/>
      <c r="C2145" s="21"/>
      <c r="D2145" s="21"/>
      <c r="E2145" s="21"/>
      <c r="F2145" s="21"/>
      <c r="G2145" s="21"/>
      <c r="H2145" s="21"/>
      <c r="I2145" s="21"/>
      <c r="J2145" s="21"/>
      <c r="K2145" s="21"/>
      <c r="L2145" s="21"/>
      <c r="M2145" s="7"/>
      <c r="N2145" s="7"/>
      <c r="O2145" s="7"/>
      <c r="P2145" s="7"/>
      <c r="Q2145" s="7"/>
      <c r="R2145" s="7"/>
      <c r="S2145" s="7"/>
      <c r="T2145" s="7"/>
      <c r="U2145" s="7"/>
      <c r="V2145" s="7"/>
      <c r="W2145" s="7"/>
      <c r="X2145" s="7"/>
      <c r="Y2145" s="7"/>
      <c r="Z2145" s="7"/>
      <c r="AA2145" s="7"/>
      <c r="AB2145" s="7"/>
      <c r="AC2145" s="7"/>
      <c r="AD2145" s="7"/>
      <c r="AE2145" s="7"/>
    </row>
    <row r="2146">
      <c r="A2146" s="7"/>
      <c r="B2146" s="21"/>
      <c r="C2146" s="21"/>
      <c r="D2146" s="21"/>
      <c r="E2146" s="21"/>
      <c r="F2146" s="21"/>
      <c r="G2146" s="21"/>
      <c r="H2146" s="21"/>
      <c r="I2146" s="21"/>
      <c r="J2146" s="21"/>
      <c r="K2146" s="21"/>
      <c r="L2146" s="21"/>
      <c r="M2146" s="7"/>
      <c r="N2146" s="7"/>
      <c r="O2146" s="7"/>
      <c r="P2146" s="7"/>
      <c r="Q2146" s="7"/>
      <c r="R2146" s="7"/>
      <c r="S2146" s="7"/>
      <c r="T2146" s="7"/>
      <c r="U2146" s="7"/>
      <c r="V2146" s="7"/>
      <c r="W2146" s="7"/>
      <c r="X2146" s="7"/>
      <c r="Y2146" s="7"/>
      <c r="Z2146" s="7"/>
      <c r="AA2146" s="7"/>
      <c r="AB2146" s="7"/>
      <c r="AC2146" s="7"/>
      <c r="AD2146" s="7"/>
      <c r="AE2146" s="7"/>
    </row>
    <row r="2147">
      <c r="A2147" s="7"/>
      <c r="B2147" s="21"/>
      <c r="C2147" s="21"/>
      <c r="D2147" s="21"/>
      <c r="E2147" s="21"/>
      <c r="F2147" s="21"/>
      <c r="G2147" s="21"/>
      <c r="H2147" s="21"/>
      <c r="I2147" s="21"/>
      <c r="J2147" s="21"/>
      <c r="K2147" s="21"/>
      <c r="L2147" s="21"/>
      <c r="M2147" s="7"/>
      <c r="N2147" s="7"/>
      <c r="O2147" s="7"/>
      <c r="P2147" s="7"/>
      <c r="Q2147" s="7"/>
      <c r="R2147" s="7"/>
      <c r="S2147" s="7"/>
      <c r="T2147" s="7"/>
      <c r="U2147" s="7"/>
      <c r="V2147" s="7"/>
      <c r="W2147" s="7"/>
      <c r="X2147" s="7"/>
      <c r="Y2147" s="7"/>
      <c r="Z2147" s="7"/>
      <c r="AA2147" s="7"/>
      <c r="AB2147" s="7"/>
      <c r="AC2147" s="7"/>
      <c r="AD2147" s="7"/>
      <c r="AE2147" s="7"/>
    </row>
    <row r="2148">
      <c r="A2148" s="7"/>
      <c r="B2148" s="21"/>
      <c r="C2148" s="21"/>
      <c r="D2148" s="21"/>
      <c r="E2148" s="21"/>
      <c r="F2148" s="21"/>
      <c r="G2148" s="21"/>
      <c r="H2148" s="21"/>
      <c r="I2148" s="21"/>
      <c r="J2148" s="21"/>
      <c r="K2148" s="21"/>
      <c r="L2148" s="21"/>
      <c r="M2148" s="7"/>
      <c r="N2148" s="7"/>
      <c r="O2148" s="7"/>
      <c r="P2148" s="7"/>
      <c r="Q2148" s="7"/>
      <c r="R2148" s="7"/>
      <c r="S2148" s="7"/>
      <c r="T2148" s="7"/>
      <c r="U2148" s="7"/>
      <c r="V2148" s="7"/>
      <c r="W2148" s="7"/>
      <c r="X2148" s="7"/>
      <c r="Y2148" s="7"/>
      <c r="Z2148" s="7"/>
      <c r="AA2148" s="7"/>
      <c r="AB2148" s="7"/>
      <c r="AC2148" s="7"/>
      <c r="AD2148" s="7"/>
      <c r="AE2148" s="7"/>
    </row>
    <row r="2149">
      <c r="A2149" s="7"/>
      <c r="B2149" s="21"/>
      <c r="C2149" s="21"/>
      <c r="D2149" s="21"/>
      <c r="E2149" s="21"/>
      <c r="F2149" s="21"/>
      <c r="G2149" s="21"/>
      <c r="H2149" s="21"/>
      <c r="I2149" s="21"/>
      <c r="J2149" s="21"/>
      <c r="K2149" s="21"/>
      <c r="L2149" s="21"/>
      <c r="M2149" s="7"/>
      <c r="N2149" s="7"/>
      <c r="O2149" s="7"/>
      <c r="P2149" s="7"/>
      <c r="Q2149" s="7"/>
      <c r="R2149" s="7"/>
      <c r="S2149" s="7"/>
      <c r="T2149" s="7"/>
      <c r="U2149" s="7"/>
      <c r="V2149" s="7"/>
      <c r="W2149" s="7"/>
      <c r="X2149" s="7"/>
      <c r="Y2149" s="7"/>
      <c r="Z2149" s="7"/>
      <c r="AA2149" s="7"/>
      <c r="AB2149" s="7"/>
      <c r="AC2149" s="7"/>
      <c r="AD2149" s="7"/>
      <c r="AE2149" s="7"/>
    </row>
    <row r="2150">
      <c r="A2150" s="7"/>
      <c r="B2150" s="21"/>
      <c r="C2150" s="21"/>
      <c r="D2150" s="21"/>
      <c r="E2150" s="21"/>
      <c r="F2150" s="21"/>
      <c r="G2150" s="21"/>
      <c r="H2150" s="21"/>
      <c r="I2150" s="21"/>
      <c r="J2150" s="21"/>
      <c r="K2150" s="21"/>
      <c r="L2150" s="21"/>
      <c r="M2150" s="7"/>
      <c r="N2150" s="7"/>
      <c r="O2150" s="7"/>
      <c r="P2150" s="7"/>
      <c r="Q2150" s="7"/>
      <c r="R2150" s="7"/>
      <c r="S2150" s="7"/>
      <c r="T2150" s="7"/>
      <c r="U2150" s="7"/>
      <c r="V2150" s="7"/>
      <c r="W2150" s="7"/>
      <c r="X2150" s="7"/>
      <c r="Y2150" s="7"/>
      <c r="Z2150" s="7"/>
      <c r="AA2150" s="7"/>
      <c r="AB2150" s="7"/>
      <c r="AC2150" s="7"/>
      <c r="AD2150" s="7"/>
      <c r="AE2150" s="7"/>
    </row>
    <row r="2151">
      <c r="A2151" s="7"/>
      <c r="B2151" s="21"/>
      <c r="C2151" s="21"/>
      <c r="D2151" s="21"/>
      <c r="E2151" s="21"/>
      <c r="F2151" s="21"/>
      <c r="G2151" s="21"/>
      <c r="H2151" s="21"/>
      <c r="I2151" s="21"/>
      <c r="J2151" s="21"/>
      <c r="K2151" s="21"/>
      <c r="L2151" s="21"/>
      <c r="M2151" s="7"/>
      <c r="N2151" s="7"/>
      <c r="O2151" s="7"/>
      <c r="P2151" s="7"/>
      <c r="Q2151" s="7"/>
      <c r="R2151" s="7"/>
      <c r="S2151" s="7"/>
      <c r="T2151" s="7"/>
      <c r="U2151" s="7"/>
      <c r="V2151" s="7"/>
      <c r="W2151" s="7"/>
      <c r="X2151" s="7"/>
      <c r="Y2151" s="7"/>
      <c r="Z2151" s="7"/>
      <c r="AA2151" s="7"/>
      <c r="AB2151" s="7"/>
      <c r="AC2151" s="7"/>
      <c r="AD2151" s="7"/>
      <c r="AE2151" s="7"/>
    </row>
    <row r="2152">
      <c r="A2152" s="7"/>
      <c r="B2152" s="21"/>
      <c r="C2152" s="21"/>
      <c r="D2152" s="21"/>
      <c r="E2152" s="21"/>
      <c r="F2152" s="21"/>
      <c r="G2152" s="21"/>
      <c r="H2152" s="21"/>
      <c r="I2152" s="21"/>
      <c r="J2152" s="21"/>
      <c r="K2152" s="21"/>
      <c r="L2152" s="21"/>
      <c r="M2152" s="7"/>
      <c r="N2152" s="7"/>
      <c r="O2152" s="7"/>
      <c r="P2152" s="7"/>
      <c r="Q2152" s="7"/>
      <c r="R2152" s="7"/>
      <c r="S2152" s="7"/>
      <c r="T2152" s="7"/>
      <c r="U2152" s="7"/>
      <c r="V2152" s="7"/>
      <c r="W2152" s="7"/>
      <c r="X2152" s="7"/>
      <c r="Y2152" s="7"/>
      <c r="Z2152" s="7"/>
      <c r="AA2152" s="7"/>
      <c r="AB2152" s="7"/>
      <c r="AC2152" s="7"/>
      <c r="AD2152" s="7"/>
      <c r="AE2152" s="7"/>
    </row>
    <row r="2153">
      <c r="A2153" s="7"/>
      <c r="B2153" s="21"/>
      <c r="C2153" s="21"/>
      <c r="D2153" s="21"/>
      <c r="E2153" s="21"/>
      <c r="F2153" s="21"/>
      <c r="G2153" s="21"/>
      <c r="H2153" s="21"/>
      <c r="I2153" s="21"/>
      <c r="J2153" s="21"/>
      <c r="K2153" s="21"/>
      <c r="L2153" s="21"/>
      <c r="M2153" s="7"/>
      <c r="N2153" s="7"/>
      <c r="O2153" s="7"/>
      <c r="P2153" s="7"/>
      <c r="Q2153" s="7"/>
      <c r="R2153" s="7"/>
      <c r="S2153" s="7"/>
      <c r="T2153" s="7"/>
      <c r="U2153" s="7"/>
      <c r="V2153" s="7"/>
      <c r="W2153" s="7"/>
      <c r="X2153" s="7"/>
      <c r="Y2153" s="7"/>
      <c r="Z2153" s="7"/>
      <c r="AA2153" s="7"/>
      <c r="AB2153" s="7"/>
      <c r="AC2153" s="7"/>
      <c r="AD2153" s="7"/>
      <c r="AE2153" s="7"/>
    </row>
    <row r="2154">
      <c r="A2154" s="7"/>
      <c r="B2154" s="21"/>
      <c r="C2154" s="21"/>
      <c r="D2154" s="21"/>
      <c r="E2154" s="21"/>
      <c r="F2154" s="21"/>
      <c r="G2154" s="21"/>
      <c r="H2154" s="21"/>
      <c r="I2154" s="21"/>
      <c r="J2154" s="21"/>
      <c r="K2154" s="21"/>
      <c r="L2154" s="21"/>
      <c r="M2154" s="7"/>
      <c r="N2154" s="7"/>
      <c r="O2154" s="7"/>
      <c r="P2154" s="7"/>
      <c r="Q2154" s="7"/>
      <c r="R2154" s="7"/>
      <c r="S2154" s="7"/>
      <c r="T2154" s="7"/>
      <c r="U2154" s="7"/>
      <c r="V2154" s="7"/>
      <c r="W2154" s="7"/>
      <c r="X2154" s="7"/>
      <c r="Y2154" s="7"/>
      <c r="Z2154" s="7"/>
      <c r="AA2154" s="7"/>
      <c r="AB2154" s="7"/>
      <c r="AC2154" s="7"/>
      <c r="AD2154" s="7"/>
      <c r="AE2154" s="7"/>
    </row>
    <row r="2155">
      <c r="A2155" s="7"/>
      <c r="B2155" s="21"/>
      <c r="C2155" s="21"/>
      <c r="D2155" s="21"/>
      <c r="E2155" s="21"/>
      <c r="F2155" s="21"/>
      <c r="G2155" s="21"/>
      <c r="H2155" s="21"/>
      <c r="I2155" s="21"/>
      <c r="J2155" s="21"/>
      <c r="K2155" s="21"/>
      <c r="L2155" s="21"/>
      <c r="M2155" s="7"/>
      <c r="N2155" s="7"/>
      <c r="O2155" s="7"/>
      <c r="P2155" s="7"/>
      <c r="Q2155" s="7"/>
      <c r="R2155" s="7"/>
      <c r="S2155" s="7"/>
      <c r="T2155" s="7"/>
      <c r="U2155" s="7"/>
      <c r="V2155" s="7"/>
      <c r="W2155" s="7"/>
      <c r="X2155" s="7"/>
      <c r="Y2155" s="7"/>
      <c r="Z2155" s="7"/>
      <c r="AA2155" s="7"/>
      <c r="AB2155" s="7"/>
      <c r="AC2155" s="7"/>
      <c r="AD2155" s="7"/>
      <c r="AE2155" s="7"/>
    </row>
    <row r="2156">
      <c r="A2156" s="7"/>
      <c r="B2156" s="21"/>
      <c r="C2156" s="21"/>
      <c r="D2156" s="21"/>
      <c r="E2156" s="21"/>
      <c r="F2156" s="21"/>
      <c r="G2156" s="21"/>
      <c r="H2156" s="21"/>
      <c r="I2156" s="21"/>
      <c r="J2156" s="21"/>
      <c r="K2156" s="21"/>
      <c r="L2156" s="21"/>
      <c r="M2156" s="7"/>
      <c r="N2156" s="7"/>
      <c r="O2156" s="7"/>
      <c r="P2156" s="7"/>
      <c r="Q2156" s="7"/>
      <c r="R2156" s="7"/>
      <c r="S2156" s="7"/>
      <c r="T2156" s="7"/>
      <c r="U2156" s="7"/>
      <c r="V2156" s="7"/>
      <c r="W2156" s="7"/>
      <c r="X2156" s="7"/>
      <c r="Y2156" s="7"/>
      <c r="Z2156" s="7"/>
      <c r="AA2156" s="7"/>
      <c r="AB2156" s="7"/>
      <c r="AC2156" s="7"/>
      <c r="AD2156" s="7"/>
      <c r="AE2156" s="7"/>
    </row>
    <row r="2157">
      <c r="A2157" s="7"/>
      <c r="B2157" s="21"/>
      <c r="C2157" s="21"/>
      <c r="D2157" s="21"/>
      <c r="E2157" s="21"/>
      <c r="F2157" s="21"/>
      <c r="G2157" s="21"/>
      <c r="H2157" s="21"/>
      <c r="I2157" s="21"/>
      <c r="J2157" s="21"/>
      <c r="K2157" s="21"/>
      <c r="L2157" s="21"/>
      <c r="M2157" s="7"/>
      <c r="N2157" s="7"/>
      <c r="O2157" s="7"/>
      <c r="P2157" s="7"/>
      <c r="Q2157" s="7"/>
      <c r="R2157" s="7"/>
      <c r="S2157" s="7"/>
      <c r="T2157" s="7"/>
      <c r="U2157" s="7"/>
      <c r="V2157" s="7"/>
      <c r="W2157" s="7"/>
      <c r="X2157" s="7"/>
      <c r="Y2157" s="7"/>
      <c r="Z2157" s="7"/>
      <c r="AA2157" s="7"/>
      <c r="AB2157" s="7"/>
      <c r="AC2157" s="7"/>
      <c r="AD2157" s="7"/>
      <c r="AE2157" s="7"/>
    </row>
    <row r="2158">
      <c r="A2158" s="7"/>
      <c r="B2158" s="21"/>
      <c r="C2158" s="21"/>
      <c r="D2158" s="21"/>
      <c r="E2158" s="21"/>
      <c r="F2158" s="21"/>
      <c r="G2158" s="21"/>
      <c r="H2158" s="21"/>
      <c r="I2158" s="21"/>
      <c r="J2158" s="21"/>
      <c r="K2158" s="21"/>
      <c r="L2158" s="21"/>
      <c r="M2158" s="7"/>
      <c r="N2158" s="7"/>
      <c r="O2158" s="7"/>
      <c r="P2158" s="7"/>
      <c r="Q2158" s="7"/>
      <c r="R2158" s="7"/>
      <c r="S2158" s="7"/>
      <c r="T2158" s="7"/>
      <c r="U2158" s="7"/>
      <c r="V2158" s="7"/>
      <c r="W2158" s="7"/>
      <c r="X2158" s="7"/>
      <c r="Y2158" s="7"/>
      <c r="Z2158" s="7"/>
      <c r="AA2158" s="7"/>
      <c r="AB2158" s="7"/>
      <c r="AC2158" s="7"/>
      <c r="AD2158" s="7"/>
      <c r="AE2158" s="7"/>
    </row>
    <row r="2159">
      <c r="A2159" s="7"/>
      <c r="B2159" s="21"/>
      <c r="C2159" s="21"/>
      <c r="D2159" s="21"/>
      <c r="E2159" s="21"/>
      <c r="F2159" s="21"/>
      <c r="G2159" s="21"/>
      <c r="H2159" s="21"/>
      <c r="I2159" s="21"/>
      <c r="J2159" s="21"/>
      <c r="K2159" s="21"/>
      <c r="L2159" s="21"/>
      <c r="M2159" s="7"/>
      <c r="N2159" s="7"/>
      <c r="O2159" s="7"/>
      <c r="P2159" s="7"/>
      <c r="Q2159" s="7"/>
      <c r="R2159" s="7"/>
      <c r="S2159" s="7"/>
      <c r="T2159" s="7"/>
      <c r="U2159" s="7"/>
      <c r="V2159" s="7"/>
      <c r="W2159" s="7"/>
      <c r="X2159" s="7"/>
      <c r="Y2159" s="7"/>
      <c r="Z2159" s="7"/>
      <c r="AA2159" s="7"/>
      <c r="AB2159" s="7"/>
      <c r="AC2159" s="7"/>
      <c r="AD2159" s="7"/>
      <c r="AE2159" s="7"/>
    </row>
    <row r="2160">
      <c r="A2160" s="7"/>
      <c r="B2160" s="21"/>
      <c r="C2160" s="21"/>
      <c r="D2160" s="21"/>
      <c r="E2160" s="21"/>
      <c r="F2160" s="21"/>
      <c r="G2160" s="21"/>
      <c r="H2160" s="21"/>
      <c r="I2160" s="21"/>
      <c r="J2160" s="21"/>
      <c r="K2160" s="21"/>
      <c r="L2160" s="21"/>
      <c r="M2160" s="7"/>
      <c r="N2160" s="7"/>
      <c r="O2160" s="7"/>
      <c r="P2160" s="7"/>
      <c r="Q2160" s="7"/>
      <c r="R2160" s="7"/>
      <c r="S2160" s="7"/>
      <c r="T2160" s="7"/>
      <c r="U2160" s="7"/>
      <c r="V2160" s="7"/>
      <c r="W2160" s="7"/>
      <c r="X2160" s="7"/>
      <c r="Y2160" s="7"/>
      <c r="Z2160" s="7"/>
      <c r="AA2160" s="7"/>
      <c r="AB2160" s="7"/>
      <c r="AC2160" s="7"/>
      <c r="AD2160" s="7"/>
      <c r="AE2160" s="7"/>
    </row>
    <row r="2161">
      <c r="A2161" s="7"/>
      <c r="B2161" s="21"/>
      <c r="C2161" s="21"/>
      <c r="D2161" s="21"/>
      <c r="E2161" s="21"/>
      <c r="F2161" s="21"/>
      <c r="G2161" s="21"/>
      <c r="H2161" s="21"/>
      <c r="I2161" s="21"/>
      <c r="J2161" s="21"/>
      <c r="K2161" s="21"/>
      <c r="L2161" s="21"/>
      <c r="M2161" s="7"/>
      <c r="N2161" s="7"/>
      <c r="O2161" s="7"/>
      <c r="P2161" s="7"/>
      <c r="Q2161" s="7"/>
      <c r="R2161" s="7"/>
      <c r="S2161" s="7"/>
      <c r="T2161" s="7"/>
      <c r="U2161" s="7"/>
      <c r="V2161" s="7"/>
      <c r="W2161" s="7"/>
      <c r="X2161" s="7"/>
      <c r="Y2161" s="7"/>
      <c r="Z2161" s="7"/>
      <c r="AA2161" s="7"/>
      <c r="AB2161" s="7"/>
      <c r="AC2161" s="7"/>
      <c r="AD2161" s="7"/>
      <c r="AE2161" s="7"/>
    </row>
    <row r="2162">
      <c r="A2162" s="7"/>
      <c r="B2162" s="21"/>
      <c r="C2162" s="21"/>
      <c r="D2162" s="21"/>
      <c r="E2162" s="21"/>
      <c r="F2162" s="21"/>
      <c r="G2162" s="21"/>
      <c r="H2162" s="21"/>
      <c r="I2162" s="21"/>
      <c r="J2162" s="21"/>
      <c r="K2162" s="21"/>
      <c r="L2162" s="21"/>
      <c r="M2162" s="7"/>
      <c r="N2162" s="7"/>
      <c r="O2162" s="7"/>
      <c r="P2162" s="7"/>
      <c r="Q2162" s="7"/>
      <c r="R2162" s="7"/>
      <c r="S2162" s="7"/>
      <c r="T2162" s="7"/>
      <c r="U2162" s="7"/>
      <c r="V2162" s="7"/>
      <c r="W2162" s="7"/>
      <c r="X2162" s="7"/>
      <c r="Y2162" s="7"/>
      <c r="Z2162" s="7"/>
      <c r="AA2162" s="7"/>
      <c r="AB2162" s="7"/>
      <c r="AC2162" s="7"/>
      <c r="AD2162" s="7"/>
      <c r="AE2162" s="7"/>
    </row>
    <row r="2163">
      <c r="A2163" s="7"/>
      <c r="B2163" s="21"/>
      <c r="C2163" s="21"/>
      <c r="D2163" s="21"/>
      <c r="E2163" s="21"/>
      <c r="F2163" s="21"/>
      <c r="G2163" s="21"/>
      <c r="H2163" s="21"/>
      <c r="I2163" s="21"/>
      <c r="J2163" s="21"/>
      <c r="K2163" s="21"/>
      <c r="L2163" s="21"/>
      <c r="M2163" s="7"/>
      <c r="N2163" s="7"/>
      <c r="O2163" s="7"/>
      <c r="P2163" s="7"/>
      <c r="Q2163" s="7"/>
      <c r="R2163" s="7"/>
      <c r="S2163" s="7"/>
      <c r="T2163" s="7"/>
      <c r="U2163" s="7"/>
      <c r="V2163" s="7"/>
      <c r="W2163" s="7"/>
      <c r="X2163" s="7"/>
      <c r="Y2163" s="7"/>
      <c r="Z2163" s="7"/>
      <c r="AA2163" s="7"/>
      <c r="AB2163" s="7"/>
      <c r="AC2163" s="7"/>
      <c r="AD2163" s="7"/>
      <c r="AE2163" s="7"/>
    </row>
    <row r="2164">
      <c r="A2164" s="7"/>
      <c r="B2164" s="21"/>
      <c r="C2164" s="21"/>
      <c r="D2164" s="21"/>
      <c r="E2164" s="21"/>
      <c r="F2164" s="21"/>
      <c r="G2164" s="21"/>
      <c r="H2164" s="21"/>
      <c r="I2164" s="21"/>
      <c r="J2164" s="21"/>
      <c r="K2164" s="21"/>
      <c r="L2164" s="21"/>
      <c r="M2164" s="7"/>
      <c r="N2164" s="7"/>
      <c r="O2164" s="7"/>
      <c r="P2164" s="7"/>
      <c r="Q2164" s="7"/>
      <c r="R2164" s="7"/>
      <c r="S2164" s="7"/>
      <c r="T2164" s="7"/>
      <c r="U2164" s="7"/>
      <c r="V2164" s="7"/>
      <c r="W2164" s="7"/>
      <c r="X2164" s="7"/>
      <c r="Y2164" s="7"/>
      <c r="Z2164" s="7"/>
      <c r="AA2164" s="7"/>
      <c r="AB2164" s="7"/>
      <c r="AC2164" s="7"/>
      <c r="AD2164" s="7"/>
      <c r="AE2164" s="7"/>
    </row>
    <row r="2165">
      <c r="A2165" s="7"/>
      <c r="B2165" s="21"/>
      <c r="C2165" s="21"/>
      <c r="D2165" s="21"/>
      <c r="E2165" s="21"/>
      <c r="F2165" s="21"/>
      <c r="G2165" s="21"/>
      <c r="H2165" s="21"/>
      <c r="I2165" s="21"/>
      <c r="J2165" s="21"/>
      <c r="K2165" s="21"/>
      <c r="L2165" s="21"/>
      <c r="M2165" s="7"/>
      <c r="N2165" s="7"/>
      <c r="O2165" s="7"/>
      <c r="P2165" s="7"/>
      <c r="Q2165" s="7"/>
      <c r="R2165" s="7"/>
      <c r="S2165" s="7"/>
      <c r="T2165" s="7"/>
      <c r="U2165" s="7"/>
      <c r="V2165" s="7"/>
      <c r="W2165" s="7"/>
      <c r="X2165" s="7"/>
      <c r="Y2165" s="7"/>
      <c r="Z2165" s="7"/>
      <c r="AA2165" s="7"/>
      <c r="AB2165" s="7"/>
      <c r="AC2165" s="7"/>
      <c r="AD2165" s="7"/>
      <c r="AE2165" s="7"/>
    </row>
    <row r="2166">
      <c r="A2166" s="7"/>
      <c r="B2166" s="21"/>
      <c r="C2166" s="21"/>
      <c r="D2166" s="21"/>
      <c r="E2166" s="21"/>
      <c r="F2166" s="21"/>
      <c r="G2166" s="21"/>
      <c r="H2166" s="21"/>
      <c r="I2166" s="21"/>
      <c r="J2166" s="21"/>
      <c r="K2166" s="21"/>
      <c r="L2166" s="21"/>
      <c r="M2166" s="7"/>
      <c r="N2166" s="7"/>
      <c r="O2166" s="7"/>
      <c r="P2166" s="7"/>
      <c r="Q2166" s="7"/>
      <c r="R2166" s="7"/>
      <c r="S2166" s="7"/>
      <c r="T2166" s="7"/>
      <c r="U2166" s="7"/>
      <c r="V2166" s="7"/>
      <c r="W2166" s="7"/>
      <c r="X2166" s="7"/>
      <c r="Y2166" s="7"/>
      <c r="Z2166" s="7"/>
      <c r="AA2166" s="7"/>
      <c r="AB2166" s="7"/>
      <c r="AC2166" s="7"/>
      <c r="AD2166" s="7"/>
      <c r="AE2166" s="7"/>
    </row>
    <row r="2167">
      <c r="A2167" s="7"/>
      <c r="B2167" s="21"/>
      <c r="C2167" s="21"/>
      <c r="D2167" s="21"/>
      <c r="E2167" s="21"/>
      <c r="F2167" s="21"/>
      <c r="G2167" s="21"/>
      <c r="H2167" s="21"/>
      <c r="I2167" s="21"/>
      <c r="J2167" s="21"/>
      <c r="K2167" s="21"/>
      <c r="L2167" s="21"/>
      <c r="M2167" s="7"/>
      <c r="N2167" s="7"/>
      <c r="O2167" s="7"/>
      <c r="P2167" s="7"/>
      <c r="Q2167" s="7"/>
      <c r="R2167" s="7"/>
      <c r="S2167" s="7"/>
      <c r="T2167" s="7"/>
      <c r="U2167" s="7"/>
      <c r="V2167" s="7"/>
      <c r="W2167" s="7"/>
      <c r="X2167" s="7"/>
      <c r="Y2167" s="7"/>
      <c r="Z2167" s="7"/>
      <c r="AA2167" s="7"/>
      <c r="AB2167" s="7"/>
      <c r="AC2167" s="7"/>
      <c r="AD2167" s="7"/>
      <c r="AE2167" s="7"/>
    </row>
    <row r="2168">
      <c r="A2168" s="7"/>
      <c r="B2168" s="21"/>
      <c r="C2168" s="21"/>
      <c r="D2168" s="21"/>
      <c r="E2168" s="21"/>
      <c r="F2168" s="21"/>
      <c r="G2168" s="21"/>
      <c r="H2168" s="21"/>
      <c r="I2168" s="21"/>
      <c r="J2168" s="21"/>
      <c r="K2168" s="21"/>
      <c r="L2168" s="21"/>
      <c r="M2168" s="7"/>
      <c r="N2168" s="7"/>
      <c r="O2168" s="7"/>
      <c r="P2168" s="7"/>
      <c r="Q2168" s="7"/>
      <c r="R2168" s="7"/>
      <c r="S2168" s="7"/>
      <c r="T2168" s="7"/>
      <c r="U2168" s="7"/>
      <c r="V2168" s="7"/>
      <c r="W2168" s="7"/>
      <c r="X2168" s="7"/>
      <c r="Y2168" s="7"/>
      <c r="Z2168" s="7"/>
      <c r="AA2168" s="7"/>
      <c r="AB2168" s="7"/>
      <c r="AC2168" s="7"/>
      <c r="AD2168" s="7"/>
      <c r="AE2168" s="7"/>
    </row>
    <row r="2169">
      <c r="A2169" s="7"/>
      <c r="B2169" s="21"/>
      <c r="C2169" s="21"/>
      <c r="D2169" s="21"/>
      <c r="E2169" s="21"/>
      <c r="F2169" s="21"/>
      <c r="G2169" s="21"/>
      <c r="H2169" s="21"/>
      <c r="I2169" s="21"/>
      <c r="J2169" s="21"/>
      <c r="K2169" s="21"/>
      <c r="L2169" s="21"/>
      <c r="M2169" s="7"/>
      <c r="N2169" s="7"/>
      <c r="O2169" s="7"/>
      <c r="P2169" s="7"/>
      <c r="Q2169" s="7"/>
      <c r="R2169" s="7"/>
      <c r="S2169" s="7"/>
      <c r="T2169" s="7"/>
      <c r="U2169" s="7"/>
      <c r="V2169" s="7"/>
      <c r="W2169" s="7"/>
      <c r="X2169" s="7"/>
      <c r="Y2169" s="7"/>
      <c r="Z2169" s="7"/>
      <c r="AA2169" s="7"/>
      <c r="AB2169" s="7"/>
      <c r="AC2169" s="7"/>
      <c r="AD2169" s="7"/>
      <c r="AE2169" s="7"/>
    </row>
    <row r="2170">
      <c r="A2170" s="7"/>
      <c r="B2170" s="21"/>
      <c r="C2170" s="21"/>
      <c r="D2170" s="21"/>
      <c r="E2170" s="21"/>
      <c r="F2170" s="21"/>
      <c r="G2170" s="21"/>
      <c r="H2170" s="21"/>
      <c r="I2170" s="21"/>
      <c r="J2170" s="21"/>
      <c r="K2170" s="21"/>
      <c r="L2170" s="21"/>
      <c r="M2170" s="7"/>
      <c r="N2170" s="7"/>
      <c r="O2170" s="7"/>
      <c r="P2170" s="7"/>
      <c r="Q2170" s="7"/>
      <c r="R2170" s="7"/>
      <c r="S2170" s="7"/>
      <c r="T2170" s="7"/>
      <c r="U2170" s="7"/>
      <c r="V2170" s="7"/>
      <c r="W2170" s="7"/>
      <c r="X2170" s="7"/>
      <c r="Y2170" s="7"/>
      <c r="Z2170" s="7"/>
      <c r="AA2170" s="7"/>
      <c r="AB2170" s="7"/>
      <c r="AC2170" s="7"/>
      <c r="AD2170" s="7"/>
      <c r="AE2170" s="7"/>
    </row>
    <row r="2171">
      <c r="A2171" s="7"/>
      <c r="B2171" s="21"/>
      <c r="C2171" s="21"/>
      <c r="D2171" s="21"/>
      <c r="E2171" s="21"/>
      <c r="F2171" s="21"/>
      <c r="G2171" s="21"/>
      <c r="H2171" s="21"/>
      <c r="I2171" s="21"/>
      <c r="J2171" s="21"/>
      <c r="K2171" s="21"/>
      <c r="L2171" s="21"/>
      <c r="M2171" s="7"/>
      <c r="N2171" s="7"/>
      <c r="O2171" s="7"/>
      <c r="P2171" s="7"/>
      <c r="Q2171" s="7"/>
      <c r="R2171" s="7"/>
      <c r="S2171" s="7"/>
      <c r="T2171" s="7"/>
      <c r="U2171" s="7"/>
      <c r="V2171" s="7"/>
      <c r="W2171" s="7"/>
      <c r="X2171" s="7"/>
      <c r="Y2171" s="7"/>
      <c r="Z2171" s="7"/>
      <c r="AA2171" s="7"/>
      <c r="AB2171" s="7"/>
      <c r="AC2171" s="7"/>
      <c r="AD2171" s="7"/>
      <c r="AE2171" s="7"/>
    </row>
    <row r="2172">
      <c r="A2172" s="7"/>
      <c r="B2172" s="21"/>
      <c r="C2172" s="21"/>
      <c r="D2172" s="21"/>
      <c r="E2172" s="21"/>
      <c r="F2172" s="21"/>
      <c r="G2172" s="21"/>
      <c r="H2172" s="21"/>
      <c r="I2172" s="21"/>
      <c r="J2172" s="21"/>
      <c r="K2172" s="21"/>
      <c r="L2172" s="21"/>
      <c r="M2172" s="7"/>
      <c r="N2172" s="7"/>
      <c r="O2172" s="7"/>
      <c r="P2172" s="7"/>
      <c r="Q2172" s="7"/>
      <c r="R2172" s="7"/>
      <c r="S2172" s="7"/>
      <c r="T2172" s="7"/>
      <c r="U2172" s="7"/>
      <c r="V2172" s="7"/>
      <c r="W2172" s="7"/>
      <c r="X2172" s="7"/>
      <c r="Y2172" s="7"/>
      <c r="Z2172" s="7"/>
      <c r="AA2172" s="7"/>
      <c r="AB2172" s="7"/>
      <c r="AC2172" s="7"/>
      <c r="AD2172" s="7"/>
      <c r="AE2172" s="7"/>
    </row>
    <row r="2173">
      <c r="A2173" s="7"/>
      <c r="B2173" s="21"/>
      <c r="C2173" s="21"/>
      <c r="D2173" s="21"/>
      <c r="E2173" s="21"/>
      <c r="F2173" s="21"/>
      <c r="G2173" s="21"/>
      <c r="H2173" s="21"/>
      <c r="I2173" s="21"/>
      <c r="J2173" s="21"/>
      <c r="K2173" s="21"/>
      <c r="L2173" s="21"/>
      <c r="M2173" s="7"/>
      <c r="N2173" s="7"/>
      <c r="O2173" s="7"/>
      <c r="P2173" s="7"/>
      <c r="Q2173" s="7"/>
      <c r="R2173" s="7"/>
      <c r="S2173" s="7"/>
      <c r="T2173" s="7"/>
      <c r="U2173" s="7"/>
      <c r="V2173" s="7"/>
      <c r="W2173" s="7"/>
      <c r="X2173" s="7"/>
      <c r="Y2173" s="7"/>
      <c r="Z2173" s="7"/>
      <c r="AA2173" s="7"/>
      <c r="AB2173" s="7"/>
      <c r="AC2173" s="7"/>
      <c r="AD2173" s="7"/>
      <c r="AE2173" s="7"/>
    </row>
    <row r="2174">
      <c r="A2174" s="7"/>
      <c r="B2174" s="21"/>
      <c r="C2174" s="21"/>
      <c r="D2174" s="21"/>
      <c r="E2174" s="21"/>
      <c r="F2174" s="21"/>
      <c r="G2174" s="21"/>
      <c r="H2174" s="21"/>
      <c r="I2174" s="21"/>
      <c r="J2174" s="21"/>
      <c r="K2174" s="21"/>
      <c r="L2174" s="21"/>
      <c r="M2174" s="7"/>
      <c r="N2174" s="7"/>
      <c r="O2174" s="7"/>
      <c r="P2174" s="7"/>
      <c r="Q2174" s="7"/>
      <c r="R2174" s="7"/>
      <c r="S2174" s="7"/>
      <c r="T2174" s="7"/>
      <c r="U2174" s="7"/>
      <c r="V2174" s="7"/>
      <c r="W2174" s="7"/>
      <c r="X2174" s="7"/>
      <c r="Y2174" s="7"/>
      <c r="Z2174" s="7"/>
      <c r="AA2174" s="7"/>
      <c r="AB2174" s="7"/>
      <c r="AC2174" s="7"/>
      <c r="AD2174" s="7"/>
      <c r="AE2174" s="7"/>
    </row>
    <row r="2175">
      <c r="A2175" s="7"/>
      <c r="B2175" s="21"/>
      <c r="C2175" s="21"/>
      <c r="D2175" s="21"/>
      <c r="E2175" s="21"/>
      <c r="F2175" s="21"/>
      <c r="G2175" s="21"/>
      <c r="H2175" s="21"/>
      <c r="I2175" s="21"/>
      <c r="J2175" s="21"/>
      <c r="K2175" s="21"/>
      <c r="L2175" s="21"/>
      <c r="M2175" s="7"/>
      <c r="N2175" s="7"/>
      <c r="O2175" s="7"/>
      <c r="P2175" s="7"/>
      <c r="Q2175" s="7"/>
      <c r="R2175" s="7"/>
      <c r="S2175" s="7"/>
      <c r="T2175" s="7"/>
      <c r="U2175" s="7"/>
      <c r="V2175" s="7"/>
      <c r="W2175" s="7"/>
      <c r="X2175" s="7"/>
      <c r="Y2175" s="7"/>
      <c r="Z2175" s="7"/>
      <c r="AA2175" s="7"/>
      <c r="AB2175" s="7"/>
      <c r="AC2175" s="7"/>
      <c r="AD2175" s="7"/>
      <c r="AE2175" s="7"/>
    </row>
    <row r="2176">
      <c r="A2176" s="7"/>
      <c r="B2176" s="21"/>
      <c r="C2176" s="21"/>
      <c r="D2176" s="21"/>
      <c r="E2176" s="21"/>
      <c r="F2176" s="21"/>
      <c r="G2176" s="21"/>
      <c r="H2176" s="21"/>
      <c r="I2176" s="21"/>
      <c r="J2176" s="21"/>
      <c r="K2176" s="21"/>
      <c r="L2176" s="21"/>
      <c r="M2176" s="7"/>
      <c r="N2176" s="7"/>
      <c r="O2176" s="7"/>
      <c r="P2176" s="7"/>
      <c r="Q2176" s="7"/>
      <c r="R2176" s="7"/>
      <c r="S2176" s="7"/>
      <c r="T2176" s="7"/>
      <c r="U2176" s="7"/>
      <c r="V2176" s="7"/>
      <c r="W2176" s="7"/>
      <c r="X2176" s="7"/>
      <c r="Y2176" s="7"/>
      <c r="Z2176" s="7"/>
      <c r="AA2176" s="7"/>
      <c r="AB2176" s="7"/>
      <c r="AC2176" s="7"/>
      <c r="AD2176" s="7"/>
      <c r="AE2176" s="7"/>
    </row>
    <row r="2177">
      <c r="A2177" s="7"/>
      <c r="B2177" s="21"/>
      <c r="C2177" s="21"/>
      <c r="D2177" s="21"/>
      <c r="E2177" s="21"/>
      <c r="F2177" s="21"/>
      <c r="G2177" s="21"/>
      <c r="H2177" s="21"/>
      <c r="I2177" s="21"/>
      <c r="J2177" s="21"/>
      <c r="K2177" s="21"/>
      <c r="L2177" s="21"/>
      <c r="M2177" s="7"/>
      <c r="N2177" s="7"/>
      <c r="O2177" s="7"/>
      <c r="P2177" s="7"/>
      <c r="Q2177" s="7"/>
      <c r="R2177" s="7"/>
      <c r="S2177" s="7"/>
      <c r="T2177" s="7"/>
      <c r="U2177" s="7"/>
      <c r="V2177" s="7"/>
      <c r="W2177" s="7"/>
      <c r="X2177" s="7"/>
      <c r="Y2177" s="7"/>
      <c r="Z2177" s="7"/>
      <c r="AA2177" s="7"/>
      <c r="AB2177" s="7"/>
      <c r="AC2177" s="7"/>
      <c r="AD2177" s="7"/>
      <c r="AE2177" s="7"/>
    </row>
    <row r="2178">
      <c r="A2178" s="7"/>
      <c r="B2178" s="21"/>
      <c r="C2178" s="21"/>
      <c r="D2178" s="21"/>
      <c r="E2178" s="21"/>
      <c r="F2178" s="21"/>
      <c r="G2178" s="21"/>
      <c r="H2178" s="21"/>
      <c r="I2178" s="21"/>
      <c r="J2178" s="21"/>
      <c r="K2178" s="21"/>
      <c r="L2178" s="21"/>
      <c r="M2178" s="7"/>
      <c r="N2178" s="7"/>
      <c r="O2178" s="7"/>
      <c r="P2178" s="7"/>
      <c r="Q2178" s="7"/>
      <c r="R2178" s="7"/>
      <c r="S2178" s="7"/>
      <c r="T2178" s="7"/>
      <c r="U2178" s="7"/>
      <c r="V2178" s="7"/>
      <c r="W2178" s="7"/>
      <c r="X2178" s="7"/>
      <c r="Y2178" s="7"/>
      <c r="Z2178" s="7"/>
      <c r="AA2178" s="7"/>
      <c r="AB2178" s="7"/>
      <c r="AC2178" s="7"/>
      <c r="AD2178" s="7"/>
      <c r="AE2178" s="7"/>
    </row>
    <row r="2179">
      <c r="A2179" s="7"/>
      <c r="B2179" s="21"/>
      <c r="C2179" s="21"/>
      <c r="D2179" s="21"/>
      <c r="E2179" s="21"/>
      <c r="F2179" s="21"/>
      <c r="G2179" s="21"/>
      <c r="H2179" s="21"/>
      <c r="I2179" s="21"/>
      <c r="J2179" s="21"/>
      <c r="K2179" s="21"/>
      <c r="L2179" s="21"/>
      <c r="M2179" s="7"/>
      <c r="N2179" s="7"/>
      <c r="O2179" s="7"/>
      <c r="P2179" s="7"/>
      <c r="Q2179" s="7"/>
      <c r="R2179" s="7"/>
      <c r="S2179" s="7"/>
      <c r="T2179" s="7"/>
      <c r="U2179" s="7"/>
      <c r="V2179" s="7"/>
      <c r="W2179" s="7"/>
      <c r="X2179" s="7"/>
      <c r="Y2179" s="7"/>
      <c r="Z2179" s="7"/>
      <c r="AA2179" s="7"/>
      <c r="AB2179" s="7"/>
      <c r="AC2179" s="7"/>
      <c r="AD2179" s="7"/>
      <c r="AE2179" s="7"/>
    </row>
    <row r="2180">
      <c r="A2180" s="7"/>
      <c r="B2180" s="21"/>
      <c r="C2180" s="21"/>
      <c r="D2180" s="21"/>
      <c r="E2180" s="21"/>
      <c r="F2180" s="21"/>
      <c r="G2180" s="21"/>
      <c r="H2180" s="21"/>
      <c r="I2180" s="21"/>
      <c r="J2180" s="21"/>
      <c r="K2180" s="21"/>
      <c r="L2180" s="21"/>
      <c r="M2180" s="7"/>
      <c r="N2180" s="7"/>
      <c r="O2180" s="7"/>
      <c r="P2180" s="7"/>
      <c r="Q2180" s="7"/>
      <c r="R2180" s="7"/>
      <c r="S2180" s="7"/>
      <c r="T2180" s="7"/>
      <c r="U2180" s="7"/>
      <c r="V2180" s="7"/>
      <c r="W2180" s="7"/>
      <c r="X2180" s="7"/>
      <c r="Y2180" s="7"/>
      <c r="Z2180" s="7"/>
      <c r="AA2180" s="7"/>
      <c r="AB2180" s="7"/>
      <c r="AC2180" s="7"/>
      <c r="AD2180" s="7"/>
      <c r="AE2180" s="7"/>
    </row>
    <row r="2181">
      <c r="A2181" s="7"/>
      <c r="B2181" s="21"/>
      <c r="C2181" s="21"/>
      <c r="D2181" s="21"/>
      <c r="E2181" s="21"/>
      <c r="F2181" s="21"/>
      <c r="G2181" s="21"/>
      <c r="H2181" s="21"/>
      <c r="I2181" s="21"/>
      <c r="J2181" s="21"/>
      <c r="K2181" s="21"/>
      <c r="L2181" s="21"/>
      <c r="M2181" s="7"/>
      <c r="N2181" s="7"/>
      <c r="O2181" s="7"/>
      <c r="P2181" s="7"/>
      <c r="Q2181" s="7"/>
      <c r="R2181" s="7"/>
      <c r="S2181" s="7"/>
      <c r="T2181" s="7"/>
      <c r="U2181" s="7"/>
      <c r="V2181" s="7"/>
      <c r="W2181" s="7"/>
      <c r="X2181" s="7"/>
      <c r="Y2181" s="7"/>
      <c r="Z2181" s="7"/>
      <c r="AA2181" s="7"/>
      <c r="AB2181" s="7"/>
      <c r="AC2181" s="7"/>
      <c r="AD2181" s="7"/>
      <c r="AE2181" s="7"/>
    </row>
    <row r="2182">
      <c r="A2182" s="7"/>
      <c r="B2182" s="21"/>
      <c r="C2182" s="21"/>
      <c r="D2182" s="21"/>
      <c r="E2182" s="21"/>
      <c r="F2182" s="21"/>
      <c r="G2182" s="21"/>
      <c r="H2182" s="21"/>
      <c r="I2182" s="21"/>
      <c r="J2182" s="21"/>
      <c r="K2182" s="21"/>
      <c r="L2182" s="21"/>
      <c r="M2182" s="7"/>
      <c r="N2182" s="7"/>
      <c r="O2182" s="7"/>
      <c r="P2182" s="7"/>
      <c r="Q2182" s="7"/>
      <c r="R2182" s="7"/>
      <c r="S2182" s="7"/>
      <c r="T2182" s="7"/>
      <c r="U2182" s="7"/>
      <c r="V2182" s="7"/>
      <c r="W2182" s="7"/>
      <c r="X2182" s="7"/>
      <c r="Y2182" s="7"/>
      <c r="Z2182" s="7"/>
      <c r="AA2182" s="7"/>
      <c r="AB2182" s="7"/>
      <c r="AC2182" s="7"/>
      <c r="AD2182" s="7"/>
      <c r="AE2182" s="7"/>
    </row>
    <row r="2183">
      <c r="A2183" s="7"/>
      <c r="B2183" s="21"/>
      <c r="C2183" s="21"/>
      <c r="D2183" s="21"/>
      <c r="E2183" s="21"/>
      <c r="F2183" s="21"/>
      <c r="G2183" s="21"/>
      <c r="H2183" s="21"/>
      <c r="I2183" s="21"/>
      <c r="J2183" s="21"/>
      <c r="K2183" s="21"/>
      <c r="L2183" s="21"/>
      <c r="M2183" s="7"/>
      <c r="N2183" s="7"/>
      <c r="O2183" s="7"/>
      <c r="P2183" s="7"/>
      <c r="Q2183" s="7"/>
      <c r="R2183" s="7"/>
      <c r="S2183" s="7"/>
      <c r="T2183" s="7"/>
      <c r="U2183" s="7"/>
      <c r="V2183" s="7"/>
      <c r="W2183" s="7"/>
      <c r="X2183" s="7"/>
      <c r="Y2183" s="7"/>
      <c r="Z2183" s="7"/>
      <c r="AA2183" s="7"/>
      <c r="AB2183" s="7"/>
      <c r="AC2183" s="7"/>
      <c r="AD2183" s="7"/>
      <c r="AE2183" s="7"/>
    </row>
    <row r="2184">
      <c r="A2184" s="7"/>
      <c r="B2184" s="21"/>
      <c r="C2184" s="21"/>
      <c r="D2184" s="21"/>
      <c r="E2184" s="21"/>
      <c r="F2184" s="21"/>
      <c r="G2184" s="21"/>
      <c r="H2184" s="21"/>
      <c r="I2184" s="21"/>
      <c r="J2184" s="21"/>
      <c r="K2184" s="21"/>
      <c r="L2184" s="21"/>
      <c r="M2184" s="7"/>
      <c r="N2184" s="7"/>
      <c r="O2184" s="7"/>
      <c r="P2184" s="7"/>
      <c r="Q2184" s="7"/>
      <c r="R2184" s="7"/>
      <c r="S2184" s="7"/>
      <c r="T2184" s="7"/>
      <c r="U2184" s="7"/>
      <c r="V2184" s="7"/>
      <c r="W2184" s="7"/>
      <c r="X2184" s="7"/>
      <c r="Y2184" s="7"/>
      <c r="Z2184" s="7"/>
      <c r="AA2184" s="7"/>
      <c r="AB2184" s="7"/>
      <c r="AC2184" s="7"/>
      <c r="AD2184" s="7"/>
      <c r="AE2184" s="7"/>
    </row>
    <row r="2185">
      <c r="A2185" s="7"/>
      <c r="B2185" s="21"/>
      <c r="C2185" s="21"/>
      <c r="D2185" s="21"/>
      <c r="E2185" s="21"/>
      <c r="F2185" s="21"/>
      <c r="G2185" s="21"/>
      <c r="H2185" s="21"/>
      <c r="I2185" s="21"/>
      <c r="J2185" s="21"/>
      <c r="K2185" s="21"/>
      <c r="L2185" s="21"/>
      <c r="M2185" s="7"/>
      <c r="N2185" s="7"/>
      <c r="O2185" s="7"/>
      <c r="P2185" s="7"/>
      <c r="Q2185" s="7"/>
      <c r="R2185" s="7"/>
      <c r="S2185" s="7"/>
      <c r="T2185" s="7"/>
      <c r="U2185" s="7"/>
      <c r="V2185" s="7"/>
      <c r="W2185" s="7"/>
      <c r="X2185" s="7"/>
      <c r="Y2185" s="7"/>
      <c r="Z2185" s="7"/>
      <c r="AA2185" s="7"/>
      <c r="AB2185" s="7"/>
      <c r="AC2185" s="7"/>
      <c r="AD2185" s="7"/>
      <c r="AE2185" s="7"/>
    </row>
    <row r="2186">
      <c r="A2186" s="7"/>
      <c r="B2186" s="21"/>
      <c r="C2186" s="21"/>
      <c r="D2186" s="21"/>
      <c r="E2186" s="21"/>
      <c r="F2186" s="21"/>
      <c r="G2186" s="21"/>
      <c r="H2186" s="21"/>
      <c r="I2186" s="21"/>
      <c r="J2186" s="21"/>
      <c r="K2186" s="21"/>
      <c r="L2186" s="21"/>
      <c r="M2186" s="7"/>
      <c r="N2186" s="7"/>
      <c r="O2186" s="7"/>
      <c r="P2186" s="7"/>
      <c r="Q2186" s="7"/>
      <c r="R2186" s="7"/>
      <c r="S2186" s="7"/>
      <c r="T2186" s="7"/>
      <c r="U2186" s="7"/>
      <c r="V2186" s="7"/>
      <c r="W2186" s="7"/>
      <c r="X2186" s="7"/>
      <c r="Y2186" s="7"/>
      <c r="Z2186" s="7"/>
      <c r="AA2186" s="7"/>
      <c r="AB2186" s="7"/>
      <c r="AC2186" s="7"/>
      <c r="AD2186" s="7"/>
      <c r="AE2186" s="7"/>
    </row>
    <row r="2187">
      <c r="A2187" s="7"/>
      <c r="B2187" s="21"/>
      <c r="C2187" s="21"/>
      <c r="D2187" s="21"/>
      <c r="E2187" s="21"/>
      <c r="F2187" s="21"/>
      <c r="G2187" s="21"/>
      <c r="H2187" s="21"/>
      <c r="I2187" s="21"/>
      <c r="J2187" s="21"/>
      <c r="K2187" s="21"/>
      <c r="L2187" s="21"/>
      <c r="M2187" s="7"/>
      <c r="N2187" s="7"/>
      <c r="O2187" s="7"/>
      <c r="P2187" s="7"/>
      <c r="Q2187" s="7"/>
      <c r="R2187" s="7"/>
      <c r="S2187" s="7"/>
      <c r="T2187" s="7"/>
      <c r="U2187" s="7"/>
      <c r="V2187" s="7"/>
      <c r="W2187" s="7"/>
      <c r="X2187" s="7"/>
      <c r="Y2187" s="7"/>
      <c r="Z2187" s="7"/>
      <c r="AA2187" s="7"/>
      <c r="AB2187" s="7"/>
      <c r="AC2187" s="7"/>
      <c r="AD2187" s="7"/>
      <c r="AE2187" s="7"/>
    </row>
    <row r="2188">
      <c r="A2188" s="7"/>
      <c r="B2188" s="21"/>
      <c r="C2188" s="21"/>
      <c r="D2188" s="21"/>
      <c r="E2188" s="21"/>
      <c r="F2188" s="21"/>
      <c r="G2188" s="21"/>
      <c r="H2188" s="21"/>
      <c r="I2188" s="21"/>
      <c r="J2188" s="21"/>
      <c r="K2188" s="21"/>
      <c r="L2188" s="21"/>
      <c r="M2188" s="7"/>
      <c r="N2188" s="7"/>
      <c r="O2188" s="7"/>
      <c r="P2188" s="7"/>
      <c r="Q2188" s="7"/>
      <c r="R2188" s="7"/>
      <c r="S2188" s="7"/>
      <c r="T2188" s="7"/>
      <c r="U2188" s="7"/>
      <c r="V2188" s="7"/>
      <c r="W2188" s="7"/>
      <c r="X2188" s="7"/>
      <c r="Y2188" s="7"/>
      <c r="Z2188" s="7"/>
      <c r="AA2188" s="7"/>
      <c r="AB2188" s="7"/>
      <c r="AC2188" s="7"/>
      <c r="AD2188" s="7"/>
      <c r="AE2188" s="7"/>
    </row>
    <row r="2189">
      <c r="A2189" s="7"/>
      <c r="B2189" s="21"/>
      <c r="C2189" s="21"/>
      <c r="D2189" s="21"/>
      <c r="E2189" s="21"/>
      <c r="F2189" s="21"/>
      <c r="G2189" s="21"/>
      <c r="H2189" s="21"/>
      <c r="I2189" s="21"/>
      <c r="J2189" s="21"/>
      <c r="K2189" s="21"/>
      <c r="L2189" s="21"/>
      <c r="M2189" s="7"/>
      <c r="N2189" s="7"/>
      <c r="O2189" s="7"/>
      <c r="P2189" s="7"/>
      <c r="Q2189" s="7"/>
      <c r="R2189" s="7"/>
      <c r="S2189" s="7"/>
      <c r="T2189" s="7"/>
      <c r="U2189" s="7"/>
      <c r="V2189" s="7"/>
      <c r="W2189" s="7"/>
      <c r="X2189" s="7"/>
      <c r="Y2189" s="7"/>
      <c r="Z2189" s="7"/>
      <c r="AA2189" s="7"/>
      <c r="AB2189" s="7"/>
      <c r="AC2189" s="7"/>
      <c r="AD2189" s="7"/>
      <c r="AE2189" s="7"/>
    </row>
    <row r="2190">
      <c r="A2190" s="7"/>
      <c r="B2190" s="21"/>
      <c r="C2190" s="21"/>
      <c r="D2190" s="21"/>
      <c r="E2190" s="21"/>
      <c r="F2190" s="21"/>
      <c r="G2190" s="21"/>
      <c r="H2190" s="21"/>
      <c r="I2190" s="21"/>
      <c r="J2190" s="21"/>
      <c r="K2190" s="21"/>
      <c r="L2190" s="21"/>
      <c r="M2190" s="7"/>
      <c r="N2190" s="7"/>
      <c r="O2190" s="7"/>
      <c r="P2190" s="7"/>
      <c r="Q2190" s="7"/>
      <c r="R2190" s="7"/>
      <c r="S2190" s="7"/>
      <c r="T2190" s="7"/>
      <c r="U2190" s="7"/>
      <c r="V2190" s="7"/>
      <c r="W2190" s="7"/>
      <c r="X2190" s="7"/>
      <c r="Y2190" s="7"/>
      <c r="Z2190" s="7"/>
      <c r="AA2190" s="7"/>
      <c r="AB2190" s="7"/>
      <c r="AC2190" s="7"/>
      <c r="AD2190" s="7"/>
      <c r="AE2190" s="7"/>
    </row>
    <row r="2191">
      <c r="A2191" s="7"/>
      <c r="B2191" s="21"/>
      <c r="C2191" s="21"/>
      <c r="D2191" s="21"/>
      <c r="E2191" s="21"/>
      <c r="F2191" s="21"/>
      <c r="G2191" s="21"/>
      <c r="H2191" s="21"/>
      <c r="I2191" s="21"/>
      <c r="J2191" s="21"/>
      <c r="K2191" s="21"/>
      <c r="L2191" s="21"/>
      <c r="M2191" s="7"/>
      <c r="N2191" s="7"/>
      <c r="O2191" s="7"/>
      <c r="P2191" s="7"/>
      <c r="Q2191" s="7"/>
      <c r="R2191" s="7"/>
      <c r="S2191" s="7"/>
      <c r="T2191" s="7"/>
      <c r="U2191" s="7"/>
      <c r="V2191" s="7"/>
      <c r="W2191" s="7"/>
      <c r="X2191" s="7"/>
      <c r="Y2191" s="7"/>
      <c r="Z2191" s="7"/>
      <c r="AA2191" s="7"/>
      <c r="AB2191" s="7"/>
      <c r="AC2191" s="7"/>
      <c r="AD2191" s="7"/>
      <c r="AE2191" s="7"/>
    </row>
    <row r="2192">
      <c r="A2192" s="7"/>
      <c r="B2192" s="21"/>
      <c r="C2192" s="21"/>
      <c r="D2192" s="21"/>
      <c r="E2192" s="21"/>
      <c r="F2192" s="21"/>
      <c r="G2192" s="21"/>
      <c r="H2192" s="21"/>
      <c r="I2192" s="21"/>
      <c r="J2192" s="21"/>
      <c r="K2192" s="21"/>
      <c r="L2192" s="21"/>
      <c r="M2192" s="7"/>
      <c r="N2192" s="7"/>
      <c r="O2192" s="7"/>
      <c r="P2192" s="7"/>
      <c r="Q2192" s="7"/>
      <c r="R2192" s="7"/>
      <c r="S2192" s="7"/>
      <c r="T2192" s="7"/>
      <c r="U2192" s="7"/>
      <c r="V2192" s="7"/>
      <c r="W2192" s="7"/>
      <c r="X2192" s="7"/>
      <c r="Y2192" s="7"/>
      <c r="Z2192" s="7"/>
      <c r="AA2192" s="7"/>
      <c r="AB2192" s="7"/>
      <c r="AC2192" s="7"/>
      <c r="AD2192" s="7"/>
      <c r="AE2192" s="7"/>
    </row>
    <row r="2193">
      <c r="A2193" s="7"/>
      <c r="B2193" s="21"/>
      <c r="C2193" s="21"/>
      <c r="D2193" s="21"/>
      <c r="E2193" s="21"/>
      <c r="F2193" s="21"/>
      <c r="G2193" s="21"/>
      <c r="H2193" s="21"/>
      <c r="I2193" s="21"/>
      <c r="J2193" s="21"/>
      <c r="K2193" s="21"/>
      <c r="L2193" s="21"/>
      <c r="M2193" s="7"/>
      <c r="N2193" s="7"/>
      <c r="O2193" s="7"/>
      <c r="P2193" s="7"/>
      <c r="Q2193" s="7"/>
      <c r="R2193" s="7"/>
      <c r="S2193" s="7"/>
      <c r="T2193" s="7"/>
      <c r="U2193" s="7"/>
      <c r="V2193" s="7"/>
      <c r="W2193" s="7"/>
      <c r="X2193" s="7"/>
      <c r="Y2193" s="7"/>
      <c r="Z2193" s="7"/>
      <c r="AA2193" s="7"/>
      <c r="AB2193" s="7"/>
      <c r="AC2193" s="7"/>
      <c r="AD2193" s="7"/>
      <c r="AE2193" s="7"/>
    </row>
    <row r="2194">
      <c r="A2194" s="7"/>
      <c r="B2194" s="21"/>
      <c r="C2194" s="21"/>
      <c r="D2194" s="21"/>
      <c r="E2194" s="21"/>
      <c r="F2194" s="21"/>
      <c r="G2194" s="21"/>
      <c r="H2194" s="21"/>
      <c r="I2194" s="21"/>
      <c r="J2194" s="21"/>
      <c r="K2194" s="21"/>
      <c r="L2194" s="21"/>
      <c r="M2194" s="7"/>
      <c r="N2194" s="7"/>
      <c r="O2194" s="7"/>
      <c r="P2194" s="7"/>
      <c r="Q2194" s="7"/>
      <c r="R2194" s="7"/>
      <c r="S2194" s="7"/>
      <c r="T2194" s="7"/>
      <c r="U2194" s="7"/>
      <c r="V2194" s="7"/>
      <c r="W2194" s="7"/>
      <c r="X2194" s="7"/>
      <c r="Y2194" s="7"/>
      <c r="Z2194" s="7"/>
      <c r="AA2194" s="7"/>
      <c r="AB2194" s="7"/>
      <c r="AC2194" s="7"/>
      <c r="AD2194" s="7"/>
      <c r="AE2194" s="7"/>
    </row>
    <row r="2195">
      <c r="A2195" s="7"/>
      <c r="B2195" s="21"/>
      <c r="C2195" s="21"/>
      <c r="D2195" s="21"/>
      <c r="E2195" s="21"/>
      <c r="F2195" s="21"/>
      <c r="G2195" s="21"/>
      <c r="H2195" s="21"/>
      <c r="I2195" s="21"/>
      <c r="J2195" s="21"/>
      <c r="K2195" s="21"/>
      <c r="L2195" s="21"/>
      <c r="M2195" s="7"/>
      <c r="N2195" s="7"/>
      <c r="O2195" s="7"/>
      <c r="P2195" s="7"/>
      <c r="Q2195" s="7"/>
      <c r="R2195" s="7"/>
      <c r="S2195" s="7"/>
      <c r="T2195" s="7"/>
      <c r="U2195" s="7"/>
      <c r="V2195" s="7"/>
      <c r="W2195" s="7"/>
      <c r="X2195" s="7"/>
      <c r="Y2195" s="7"/>
      <c r="Z2195" s="7"/>
      <c r="AA2195" s="7"/>
      <c r="AB2195" s="7"/>
      <c r="AC2195" s="7"/>
      <c r="AD2195" s="7"/>
      <c r="AE2195" s="7"/>
    </row>
    <row r="2196">
      <c r="A2196" s="7"/>
      <c r="B2196" s="21"/>
      <c r="C2196" s="21"/>
      <c r="D2196" s="21"/>
      <c r="E2196" s="21"/>
      <c r="F2196" s="21"/>
      <c r="G2196" s="21"/>
      <c r="H2196" s="21"/>
      <c r="I2196" s="21"/>
      <c r="J2196" s="21"/>
      <c r="K2196" s="21"/>
      <c r="L2196" s="21"/>
      <c r="M2196" s="7"/>
      <c r="N2196" s="7"/>
      <c r="O2196" s="7"/>
      <c r="P2196" s="7"/>
      <c r="Q2196" s="7"/>
      <c r="R2196" s="7"/>
      <c r="S2196" s="7"/>
      <c r="T2196" s="7"/>
      <c r="U2196" s="7"/>
      <c r="V2196" s="7"/>
      <c r="W2196" s="7"/>
      <c r="X2196" s="7"/>
      <c r="Y2196" s="7"/>
      <c r="Z2196" s="7"/>
      <c r="AA2196" s="7"/>
      <c r="AB2196" s="7"/>
      <c r="AC2196" s="7"/>
      <c r="AD2196" s="7"/>
      <c r="AE2196" s="7"/>
    </row>
    <row r="2197">
      <c r="A2197" s="7"/>
      <c r="B2197" s="21"/>
      <c r="C2197" s="21"/>
      <c r="D2197" s="21"/>
      <c r="E2197" s="21"/>
      <c r="F2197" s="21"/>
      <c r="G2197" s="21"/>
      <c r="H2197" s="21"/>
      <c r="I2197" s="21"/>
      <c r="J2197" s="21"/>
      <c r="K2197" s="21"/>
      <c r="L2197" s="21"/>
      <c r="M2197" s="7"/>
      <c r="N2197" s="7"/>
      <c r="O2197" s="7"/>
      <c r="P2197" s="7"/>
      <c r="Q2197" s="7"/>
      <c r="R2197" s="7"/>
      <c r="S2197" s="7"/>
      <c r="T2197" s="7"/>
      <c r="U2197" s="7"/>
      <c r="V2197" s="7"/>
      <c r="W2197" s="7"/>
      <c r="X2197" s="7"/>
      <c r="Y2197" s="7"/>
      <c r="Z2197" s="7"/>
      <c r="AA2197" s="7"/>
      <c r="AB2197" s="7"/>
      <c r="AC2197" s="7"/>
      <c r="AD2197" s="7"/>
      <c r="AE2197" s="7"/>
    </row>
    <row r="2198">
      <c r="A2198" s="7"/>
      <c r="B2198" s="21"/>
      <c r="C2198" s="21"/>
      <c r="D2198" s="21"/>
      <c r="E2198" s="21"/>
      <c r="F2198" s="21"/>
      <c r="G2198" s="21"/>
      <c r="H2198" s="21"/>
      <c r="I2198" s="21"/>
      <c r="J2198" s="21"/>
      <c r="K2198" s="21"/>
      <c r="L2198" s="21"/>
      <c r="M2198" s="7"/>
      <c r="N2198" s="7"/>
      <c r="O2198" s="7"/>
      <c r="P2198" s="7"/>
      <c r="Q2198" s="7"/>
      <c r="R2198" s="7"/>
      <c r="S2198" s="7"/>
      <c r="T2198" s="7"/>
      <c r="U2198" s="7"/>
      <c r="V2198" s="7"/>
      <c r="W2198" s="7"/>
      <c r="X2198" s="7"/>
      <c r="Y2198" s="7"/>
      <c r="Z2198" s="7"/>
      <c r="AA2198" s="7"/>
      <c r="AB2198" s="7"/>
      <c r="AC2198" s="7"/>
      <c r="AD2198" s="7"/>
      <c r="AE2198" s="7"/>
    </row>
    <row r="2199">
      <c r="A2199" s="7"/>
      <c r="B2199" s="21"/>
      <c r="C2199" s="21"/>
      <c r="D2199" s="21"/>
      <c r="E2199" s="21"/>
      <c r="F2199" s="21"/>
      <c r="G2199" s="21"/>
      <c r="H2199" s="21"/>
      <c r="I2199" s="21"/>
      <c r="J2199" s="21"/>
      <c r="K2199" s="21"/>
      <c r="L2199" s="21"/>
      <c r="M2199" s="7"/>
      <c r="N2199" s="7"/>
      <c r="O2199" s="7"/>
      <c r="P2199" s="7"/>
      <c r="Q2199" s="7"/>
      <c r="R2199" s="7"/>
      <c r="S2199" s="7"/>
      <c r="T2199" s="7"/>
      <c r="U2199" s="7"/>
      <c r="V2199" s="7"/>
      <c r="W2199" s="7"/>
      <c r="X2199" s="7"/>
      <c r="Y2199" s="7"/>
      <c r="Z2199" s="7"/>
      <c r="AA2199" s="7"/>
      <c r="AB2199" s="7"/>
      <c r="AC2199" s="7"/>
      <c r="AD2199" s="7"/>
      <c r="AE2199" s="7"/>
    </row>
    <row r="2200">
      <c r="A2200" s="7"/>
      <c r="B2200" s="21"/>
      <c r="C2200" s="21"/>
      <c r="D2200" s="21"/>
      <c r="E2200" s="21"/>
      <c r="F2200" s="21"/>
      <c r="G2200" s="21"/>
      <c r="H2200" s="21"/>
      <c r="I2200" s="21"/>
      <c r="J2200" s="21"/>
      <c r="K2200" s="21"/>
      <c r="L2200" s="21"/>
      <c r="M2200" s="7"/>
      <c r="N2200" s="7"/>
      <c r="O2200" s="7"/>
      <c r="P2200" s="7"/>
      <c r="Q2200" s="7"/>
      <c r="R2200" s="7"/>
      <c r="S2200" s="7"/>
      <c r="T2200" s="7"/>
      <c r="U2200" s="7"/>
      <c r="V2200" s="7"/>
      <c r="W2200" s="7"/>
      <c r="X2200" s="7"/>
      <c r="Y2200" s="7"/>
      <c r="Z2200" s="7"/>
      <c r="AA2200" s="7"/>
      <c r="AB2200" s="7"/>
      <c r="AC2200" s="7"/>
      <c r="AD2200" s="7"/>
      <c r="AE2200" s="7"/>
    </row>
    <row r="2201">
      <c r="A2201" s="7"/>
      <c r="B2201" s="21"/>
      <c r="C2201" s="21"/>
      <c r="D2201" s="21"/>
      <c r="E2201" s="21"/>
      <c r="F2201" s="21"/>
      <c r="G2201" s="21"/>
      <c r="H2201" s="21"/>
      <c r="I2201" s="21"/>
      <c r="J2201" s="21"/>
      <c r="K2201" s="21"/>
      <c r="L2201" s="21"/>
      <c r="M2201" s="7"/>
      <c r="N2201" s="7"/>
      <c r="O2201" s="7"/>
      <c r="P2201" s="7"/>
      <c r="Q2201" s="7"/>
      <c r="R2201" s="7"/>
      <c r="S2201" s="7"/>
      <c r="T2201" s="7"/>
      <c r="U2201" s="7"/>
      <c r="V2201" s="7"/>
      <c r="W2201" s="7"/>
      <c r="X2201" s="7"/>
      <c r="Y2201" s="7"/>
      <c r="Z2201" s="7"/>
      <c r="AA2201" s="7"/>
      <c r="AB2201" s="7"/>
      <c r="AC2201" s="7"/>
      <c r="AD2201" s="7"/>
      <c r="AE2201" s="7"/>
    </row>
    <row r="2202">
      <c r="A2202" s="7"/>
      <c r="B2202" s="21"/>
      <c r="C2202" s="21"/>
      <c r="D2202" s="21"/>
      <c r="E2202" s="21"/>
      <c r="F2202" s="21"/>
      <c r="G2202" s="21"/>
      <c r="H2202" s="21"/>
      <c r="I2202" s="21"/>
      <c r="J2202" s="21"/>
      <c r="K2202" s="21"/>
      <c r="L2202" s="21"/>
      <c r="M2202" s="7"/>
      <c r="N2202" s="7"/>
      <c r="O2202" s="7"/>
      <c r="P2202" s="7"/>
      <c r="Q2202" s="7"/>
      <c r="R2202" s="7"/>
      <c r="S2202" s="7"/>
      <c r="T2202" s="7"/>
      <c r="U2202" s="7"/>
      <c r="V2202" s="7"/>
      <c r="W2202" s="7"/>
      <c r="X2202" s="7"/>
      <c r="Y2202" s="7"/>
      <c r="Z2202" s="7"/>
      <c r="AA2202" s="7"/>
      <c r="AB2202" s="7"/>
      <c r="AC2202" s="7"/>
      <c r="AD2202" s="7"/>
      <c r="AE2202" s="7"/>
    </row>
    <row r="2203">
      <c r="A2203" s="7"/>
      <c r="B2203" s="21"/>
      <c r="C2203" s="21"/>
      <c r="D2203" s="21"/>
      <c r="E2203" s="21"/>
      <c r="F2203" s="21"/>
      <c r="G2203" s="21"/>
      <c r="H2203" s="21"/>
      <c r="I2203" s="21"/>
      <c r="J2203" s="21"/>
      <c r="K2203" s="21"/>
      <c r="L2203" s="21"/>
      <c r="M2203" s="7"/>
      <c r="N2203" s="7"/>
      <c r="O2203" s="7"/>
      <c r="P2203" s="7"/>
      <c r="Q2203" s="7"/>
      <c r="R2203" s="7"/>
      <c r="S2203" s="7"/>
      <c r="T2203" s="7"/>
      <c r="U2203" s="7"/>
      <c r="V2203" s="7"/>
      <c r="W2203" s="7"/>
      <c r="X2203" s="7"/>
      <c r="Y2203" s="7"/>
      <c r="Z2203" s="7"/>
      <c r="AA2203" s="7"/>
      <c r="AB2203" s="7"/>
      <c r="AC2203" s="7"/>
      <c r="AD2203" s="7"/>
      <c r="AE2203" s="7"/>
    </row>
    <row r="2204">
      <c r="A2204" s="7"/>
      <c r="B2204" s="21"/>
      <c r="C2204" s="21"/>
      <c r="D2204" s="21"/>
      <c r="E2204" s="21"/>
      <c r="F2204" s="21"/>
      <c r="G2204" s="21"/>
      <c r="H2204" s="21"/>
      <c r="I2204" s="21"/>
      <c r="J2204" s="21"/>
      <c r="K2204" s="21"/>
      <c r="L2204" s="21"/>
      <c r="M2204" s="7"/>
      <c r="N2204" s="7"/>
      <c r="O2204" s="7"/>
      <c r="P2204" s="7"/>
      <c r="Q2204" s="7"/>
      <c r="R2204" s="7"/>
      <c r="S2204" s="7"/>
      <c r="T2204" s="7"/>
      <c r="U2204" s="7"/>
      <c r="V2204" s="7"/>
      <c r="W2204" s="7"/>
      <c r="X2204" s="7"/>
      <c r="Y2204" s="7"/>
      <c r="Z2204" s="7"/>
      <c r="AA2204" s="7"/>
      <c r="AB2204" s="7"/>
      <c r="AC2204" s="7"/>
      <c r="AD2204" s="7"/>
      <c r="AE2204" s="7"/>
    </row>
    <row r="2205">
      <c r="A2205" s="7"/>
      <c r="B2205" s="21"/>
      <c r="C2205" s="21"/>
      <c r="D2205" s="21"/>
      <c r="E2205" s="21"/>
      <c r="F2205" s="21"/>
      <c r="G2205" s="21"/>
      <c r="H2205" s="21"/>
      <c r="I2205" s="21"/>
      <c r="J2205" s="21"/>
      <c r="K2205" s="21"/>
      <c r="L2205" s="21"/>
      <c r="M2205" s="7"/>
      <c r="N2205" s="7"/>
      <c r="O2205" s="7"/>
      <c r="P2205" s="7"/>
      <c r="Q2205" s="7"/>
      <c r="R2205" s="7"/>
      <c r="S2205" s="7"/>
      <c r="T2205" s="7"/>
      <c r="U2205" s="7"/>
      <c r="V2205" s="7"/>
      <c r="W2205" s="7"/>
      <c r="X2205" s="7"/>
      <c r="Y2205" s="7"/>
      <c r="Z2205" s="7"/>
      <c r="AA2205" s="7"/>
      <c r="AB2205" s="7"/>
      <c r="AC2205" s="7"/>
      <c r="AD2205" s="7"/>
      <c r="AE2205" s="7"/>
    </row>
    <row r="2206">
      <c r="A2206" s="7"/>
      <c r="B2206" s="21"/>
      <c r="C2206" s="21"/>
      <c r="D2206" s="21"/>
      <c r="E2206" s="21"/>
      <c r="F2206" s="21"/>
      <c r="G2206" s="21"/>
      <c r="H2206" s="21"/>
      <c r="I2206" s="21"/>
      <c r="J2206" s="21"/>
      <c r="K2206" s="21"/>
      <c r="L2206" s="21"/>
      <c r="M2206" s="7"/>
      <c r="N2206" s="7"/>
      <c r="O2206" s="7"/>
      <c r="P2206" s="7"/>
      <c r="Q2206" s="7"/>
      <c r="R2206" s="7"/>
      <c r="S2206" s="7"/>
      <c r="T2206" s="7"/>
      <c r="U2206" s="7"/>
      <c r="V2206" s="7"/>
      <c r="W2206" s="7"/>
      <c r="X2206" s="7"/>
      <c r="Y2206" s="7"/>
      <c r="Z2206" s="7"/>
      <c r="AA2206" s="7"/>
      <c r="AB2206" s="7"/>
      <c r="AC2206" s="7"/>
      <c r="AD2206" s="7"/>
      <c r="AE2206" s="7"/>
    </row>
    <row r="2207">
      <c r="A2207" s="7"/>
      <c r="B2207" s="21"/>
      <c r="C2207" s="21"/>
      <c r="D2207" s="21"/>
      <c r="E2207" s="21"/>
      <c r="F2207" s="21"/>
      <c r="G2207" s="21"/>
      <c r="H2207" s="21"/>
      <c r="I2207" s="21"/>
      <c r="J2207" s="21"/>
      <c r="K2207" s="21"/>
      <c r="L2207" s="21"/>
      <c r="M2207" s="7"/>
      <c r="N2207" s="7"/>
      <c r="O2207" s="7"/>
      <c r="P2207" s="7"/>
      <c r="Q2207" s="7"/>
      <c r="R2207" s="7"/>
      <c r="S2207" s="7"/>
      <c r="T2207" s="7"/>
      <c r="U2207" s="7"/>
      <c r="V2207" s="7"/>
      <c r="W2207" s="7"/>
      <c r="X2207" s="7"/>
      <c r="Y2207" s="7"/>
      <c r="Z2207" s="7"/>
      <c r="AA2207" s="7"/>
      <c r="AB2207" s="7"/>
      <c r="AC2207" s="7"/>
      <c r="AD2207" s="7"/>
      <c r="AE2207" s="7"/>
    </row>
    <row r="2208">
      <c r="A2208" s="7"/>
      <c r="B2208" s="21"/>
      <c r="C2208" s="21"/>
      <c r="D2208" s="21"/>
      <c r="E2208" s="21"/>
      <c r="F2208" s="21"/>
      <c r="G2208" s="21"/>
      <c r="H2208" s="21"/>
      <c r="I2208" s="21"/>
      <c r="J2208" s="21"/>
      <c r="K2208" s="21"/>
      <c r="L2208" s="21"/>
      <c r="M2208" s="7"/>
      <c r="N2208" s="7"/>
      <c r="O2208" s="7"/>
      <c r="P2208" s="7"/>
      <c r="Q2208" s="7"/>
      <c r="R2208" s="7"/>
      <c r="S2208" s="7"/>
      <c r="T2208" s="7"/>
      <c r="U2208" s="7"/>
      <c r="V2208" s="7"/>
      <c r="W2208" s="7"/>
      <c r="X2208" s="7"/>
      <c r="Y2208" s="7"/>
      <c r="Z2208" s="7"/>
      <c r="AA2208" s="7"/>
      <c r="AB2208" s="7"/>
      <c r="AC2208" s="7"/>
      <c r="AD2208" s="7"/>
      <c r="AE2208" s="7"/>
    </row>
    <row r="2209">
      <c r="A2209" s="7"/>
      <c r="B2209" s="21"/>
      <c r="C2209" s="21"/>
      <c r="D2209" s="21"/>
      <c r="E2209" s="21"/>
      <c r="F2209" s="21"/>
      <c r="G2209" s="21"/>
      <c r="H2209" s="21"/>
      <c r="I2209" s="21"/>
      <c r="J2209" s="21"/>
      <c r="K2209" s="21"/>
      <c r="L2209" s="21"/>
      <c r="M2209" s="7"/>
      <c r="N2209" s="7"/>
      <c r="O2209" s="7"/>
      <c r="P2209" s="7"/>
      <c r="Q2209" s="7"/>
      <c r="R2209" s="7"/>
      <c r="S2209" s="7"/>
      <c r="T2209" s="7"/>
      <c r="U2209" s="7"/>
      <c r="V2209" s="7"/>
      <c r="W2209" s="7"/>
      <c r="X2209" s="7"/>
      <c r="Y2209" s="7"/>
      <c r="Z2209" s="7"/>
      <c r="AA2209" s="7"/>
      <c r="AB2209" s="7"/>
      <c r="AC2209" s="7"/>
      <c r="AD2209" s="7"/>
      <c r="AE2209" s="7"/>
    </row>
    <row r="2210">
      <c r="A2210" s="7"/>
      <c r="B2210" s="21"/>
      <c r="C2210" s="21"/>
      <c r="D2210" s="21"/>
      <c r="E2210" s="21"/>
      <c r="F2210" s="21"/>
      <c r="G2210" s="21"/>
      <c r="H2210" s="21"/>
      <c r="I2210" s="21"/>
      <c r="J2210" s="21"/>
      <c r="K2210" s="21"/>
      <c r="L2210" s="21"/>
      <c r="M2210" s="7"/>
      <c r="N2210" s="7"/>
      <c r="O2210" s="7"/>
      <c r="P2210" s="7"/>
      <c r="Q2210" s="7"/>
      <c r="R2210" s="7"/>
      <c r="S2210" s="7"/>
      <c r="T2210" s="7"/>
      <c r="U2210" s="7"/>
      <c r="V2210" s="7"/>
      <c r="W2210" s="7"/>
      <c r="X2210" s="7"/>
      <c r="Y2210" s="7"/>
      <c r="Z2210" s="7"/>
      <c r="AA2210" s="7"/>
      <c r="AB2210" s="7"/>
      <c r="AC2210" s="7"/>
      <c r="AD2210" s="7"/>
      <c r="AE2210" s="7"/>
    </row>
    <row r="2211">
      <c r="A2211" s="7"/>
      <c r="B2211" s="21"/>
      <c r="C2211" s="21"/>
      <c r="D2211" s="21"/>
      <c r="E2211" s="21"/>
      <c r="F2211" s="21"/>
      <c r="G2211" s="21"/>
      <c r="H2211" s="21"/>
      <c r="I2211" s="21"/>
      <c r="J2211" s="21"/>
      <c r="K2211" s="21"/>
      <c r="L2211" s="21"/>
      <c r="M2211" s="7"/>
      <c r="N2211" s="7"/>
      <c r="O2211" s="7"/>
      <c r="P2211" s="7"/>
      <c r="Q2211" s="7"/>
      <c r="R2211" s="7"/>
      <c r="S2211" s="7"/>
      <c r="T2211" s="7"/>
      <c r="U2211" s="7"/>
      <c r="V2211" s="7"/>
      <c r="W2211" s="7"/>
      <c r="X2211" s="7"/>
      <c r="Y2211" s="7"/>
      <c r="Z2211" s="7"/>
      <c r="AA2211" s="7"/>
      <c r="AB2211" s="7"/>
      <c r="AC2211" s="7"/>
      <c r="AD2211" s="7"/>
      <c r="AE2211" s="7"/>
    </row>
    <row r="2212">
      <c r="A2212" s="7"/>
      <c r="B2212" s="21"/>
      <c r="C2212" s="21"/>
      <c r="D2212" s="21"/>
      <c r="E2212" s="21"/>
      <c r="F2212" s="21"/>
      <c r="G2212" s="21"/>
      <c r="H2212" s="21"/>
      <c r="I2212" s="21"/>
      <c r="J2212" s="21"/>
      <c r="K2212" s="21"/>
      <c r="L2212" s="21"/>
      <c r="M2212" s="7"/>
      <c r="N2212" s="7"/>
      <c r="O2212" s="7"/>
      <c r="P2212" s="7"/>
      <c r="Q2212" s="7"/>
      <c r="R2212" s="7"/>
      <c r="S2212" s="7"/>
      <c r="T2212" s="7"/>
      <c r="U2212" s="7"/>
      <c r="V2212" s="7"/>
      <c r="W2212" s="7"/>
      <c r="X2212" s="7"/>
      <c r="Y2212" s="7"/>
      <c r="Z2212" s="7"/>
      <c r="AA2212" s="7"/>
      <c r="AB2212" s="7"/>
      <c r="AC2212" s="7"/>
      <c r="AD2212" s="7"/>
      <c r="AE2212" s="7"/>
    </row>
    <row r="2213">
      <c r="A2213" s="7"/>
      <c r="B2213" s="21"/>
      <c r="C2213" s="21"/>
      <c r="D2213" s="21"/>
      <c r="E2213" s="21"/>
      <c r="F2213" s="21"/>
      <c r="G2213" s="21"/>
      <c r="H2213" s="21"/>
      <c r="I2213" s="21"/>
      <c r="J2213" s="21"/>
      <c r="K2213" s="21"/>
      <c r="L2213" s="21"/>
      <c r="M2213" s="7"/>
      <c r="N2213" s="7"/>
      <c r="O2213" s="7"/>
      <c r="P2213" s="7"/>
      <c r="Q2213" s="7"/>
      <c r="R2213" s="7"/>
      <c r="S2213" s="7"/>
      <c r="T2213" s="7"/>
      <c r="U2213" s="7"/>
      <c r="V2213" s="7"/>
      <c r="W2213" s="7"/>
      <c r="X2213" s="7"/>
      <c r="Y2213" s="7"/>
      <c r="Z2213" s="7"/>
      <c r="AA2213" s="7"/>
      <c r="AB2213" s="7"/>
      <c r="AC2213" s="7"/>
      <c r="AD2213" s="7"/>
      <c r="AE2213" s="7"/>
    </row>
    <row r="2214">
      <c r="A2214" s="7"/>
      <c r="B2214" s="21"/>
      <c r="C2214" s="21"/>
      <c r="D2214" s="21"/>
      <c r="E2214" s="21"/>
      <c r="F2214" s="21"/>
      <c r="G2214" s="21"/>
      <c r="H2214" s="21"/>
      <c r="I2214" s="21"/>
      <c r="J2214" s="21"/>
      <c r="K2214" s="21"/>
      <c r="L2214" s="21"/>
      <c r="M2214" s="7"/>
      <c r="N2214" s="7"/>
      <c r="O2214" s="7"/>
      <c r="P2214" s="7"/>
      <c r="Q2214" s="7"/>
      <c r="R2214" s="7"/>
      <c r="S2214" s="7"/>
      <c r="T2214" s="7"/>
      <c r="U2214" s="7"/>
      <c r="V2214" s="7"/>
      <c r="W2214" s="7"/>
      <c r="X2214" s="7"/>
      <c r="Y2214" s="7"/>
      <c r="Z2214" s="7"/>
      <c r="AA2214" s="7"/>
      <c r="AB2214" s="7"/>
      <c r="AC2214" s="7"/>
      <c r="AD2214" s="7"/>
      <c r="AE2214" s="7"/>
    </row>
    <row r="2215">
      <c r="A2215" s="7"/>
      <c r="B2215" s="21"/>
      <c r="C2215" s="21"/>
      <c r="D2215" s="21"/>
      <c r="E2215" s="21"/>
      <c r="F2215" s="21"/>
      <c r="G2215" s="21"/>
      <c r="H2215" s="21"/>
      <c r="I2215" s="21"/>
      <c r="J2215" s="21"/>
      <c r="K2215" s="21"/>
      <c r="L2215" s="21"/>
      <c r="M2215" s="7"/>
      <c r="N2215" s="7"/>
      <c r="O2215" s="7"/>
      <c r="P2215" s="7"/>
      <c r="Q2215" s="7"/>
      <c r="R2215" s="7"/>
      <c r="S2215" s="7"/>
      <c r="T2215" s="7"/>
      <c r="U2215" s="7"/>
      <c r="V2215" s="7"/>
      <c r="W2215" s="7"/>
      <c r="X2215" s="7"/>
      <c r="Y2215" s="7"/>
      <c r="Z2215" s="7"/>
      <c r="AA2215" s="7"/>
      <c r="AB2215" s="7"/>
      <c r="AC2215" s="7"/>
      <c r="AD2215" s="7"/>
      <c r="AE2215" s="7"/>
    </row>
    <row r="2216">
      <c r="A2216" s="7"/>
      <c r="B2216" s="21"/>
      <c r="C2216" s="21"/>
      <c r="D2216" s="21"/>
      <c r="E2216" s="21"/>
      <c r="F2216" s="21"/>
      <c r="G2216" s="21"/>
      <c r="H2216" s="21"/>
      <c r="I2216" s="21"/>
      <c r="J2216" s="21"/>
      <c r="K2216" s="21"/>
      <c r="L2216" s="21"/>
      <c r="M2216" s="7"/>
      <c r="N2216" s="7"/>
      <c r="O2216" s="7"/>
      <c r="P2216" s="7"/>
      <c r="Q2216" s="7"/>
      <c r="R2216" s="7"/>
      <c r="S2216" s="7"/>
      <c r="T2216" s="7"/>
      <c r="U2216" s="7"/>
      <c r="V2216" s="7"/>
      <c r="W2216" s="7"/>
      <c r="X2216" s="7"/>
      <c r="Y2216" s="7"/>
      <c r="Z2216" s="7"/>
      <c r="AA2216" s="7"/>
      <c r="AB2216" s="7"/>
      <c r="AC2216" s="7"/>
      <c r="AD2216" s="7"/>
      <c r="AE2216" s="7"/>
    </row>
    <row r="2217">
      <c r="A2217" s="7"/>
      <c r="B2217" s="21"/>
      <c r="C2217" s="21"/>
      <c r="D2217" s="21"/>
      <c r="E2217" s="21"/>
      <c r="F2217" s="21"/>
      <c r="G2217" s="21"/>
      <c r="H2217" s="21"/>
      <c r="I2217" s="21"/>
      <c r="J2217" s="21"/>
      <c r="K2217" s="21"/>
      <c r="L2217" s="21"/>
      <c r="M2217" s="7"/>
      <c r="N2217" s="7"/>
      <c r="O2217" s="7"/>
      <c r="P2217" s="7"/>
      <c r="Q2217" s="7"/>
      <c r="R2217" s="7"/>
      <c r="S2217" s="7"/>
      <c r="T2217" s="7"/>
      <c r="U2217" s="7"/>
      <c r="V2217" s="7"/>
      <c r="W2217" s="7"/>
      <c r="X2217" s="7"/>
      <c r="Y2217" s="7"/>
      <c r="Z2217" s="7"/>
      <c r="AA2217" s="7"/>
      <c r="AB2217" s="7"/>
      <c r="AC2217" s="7"/>
      <c r="AD2217" s="7"/>
      <c r="AE2217" s="7"/>
    </row>
    <row r="2218">
      <c r="A2218" s="7"/>
      <c r="B2218" s="21"/>
      <c r="C2218" s="21"/>
      <c r="D2218" s="21"/>
      <c r="E2218" s="21"/>
      <c r="F2218" s="21"/>
      <c r="G2218" s="21"/>
      <c r="H2218" s="21"/>
      <c r="I2218" s="21"/>
      <c r="J2218" s="21"/>
      <c r="K2218" s="21"/>
      <c r="L2218" s="21"/>
      <c r="M2218" s="7"/>
      <c r="N2218" s="7"/>
      <c r="O2218" s="7"/>
      <c r="P2218" s="7"/>
      <c r="Q2218" s="7"/>
      <c r="R2218" s="7"/>
      <c r="S2218" s="7"/>
      <c r="T2218" s="7"/>
      <c r="U2218" s="7"/>
      <c r="V2218" s="7"/>
      <c r="W2218" s="7"/>
      <c r="X2218" s="7"/>
      <c r="Y2218" s="7"/>
      <c r="Z2218" s="7"/>
      <c r="AA2218" s="7"/>
      <c r="AB2218" s="7"/>
      <c r="AC2218" s="7"/>
      <c r="AD2218" s="7"/>
      <c r="AE2218" s="7"/>
    </row>
    <row r="2219">
      <c r="A2219" s="7"/>
      <c r="B2219" s="21"/>
      <c r="C2219" s="21"/>
      <c r="D2219" s="21"/>
      <c r="E2219" s="21"/>
      <c r="F2219" s="21"/>
      <c r="G2219" s="21"/>
      <c r="H2219" s="21"/>
      <c r="I2219" s="21"/>
      <c r="J2219" s="21"/>
      <c r="K2219" s="21"/>
      <c r="L2219" s="21"/>
      <c r="M2219" s="7"/>
      <c r="N2219" s="7"/>
      <c r="O2219" s="7"/>
      <c r="P2219" s="7"/>
      <c r="Q2219" s="7"/>
      <c r="R2219" s="7"/>
      <c r="S2219" s="7"/>
      <c r="T2219" s="7"/>
      <c r="U2219" s="7"/>
      <c r="V2219" s="7"/>
      <c r="W2219" s="7"/>
      <c r="X2219" s="7"/>
      <c r="Y2219" s="7"/>
      <c r="Z2219" s="7"/>
      <c r="AA2219" s="7"/>
      <c r="AB2219" s="7"/>
      <c r="AC2219" s="7"/>
      <c r="AD2219" s="7"/>
      <c r="AE2219" s="7"/>
    </row>
    <row r="2220">
      <c r="A2220" s="7"/>
      <c r="B2220" s="21"/>
      <c r="C2220" s="21"/>
      <c r="D2220" s="21"/>
      <c r="E2220" s="21"/>
      <c r="F2220" s="21"/>
      <c r="G2220" s="21"/>
      <c r="H2220" s="21"/>
      <c r="I2220" s="21"/>
      <c r="J2220" s="21"/>
      <c r="K2220" s="21"/>
      <c r="L2220" s="21"/>
      <c r="M2220" s="7"/>
      <c r="N2220" s="7"/>
      <c r="O2220" s="7"/>
      <c r="P2220" s="7"/>
      <c r="Q2220" s="7"/>
      <c r="R2220" s="7"/>
      <c r="S2220" s="7"/>
      <c r="T2220" s="7"/>
      <c r="U2220" s="7"/>
      <c r="V2220" s="7"/>
      <c r="W2220" s="7"/>
      <c r="X2220" s="7"/>
      <c r="Y2220" s="7"/>
      <c r="Z2220" s="7"/>
      <c r="AA2220" s="7"/>
      <c r="AB2220" s="7"/>
      <c r="AC2220" s="7"/>
      <c r="AD2220" s="7"/>
      <c r="AE2220" s="7"/>
    </row>
    <row r="2221">
      <c r="A2221" s="7"/>
      <c r="B2221" s="21"/>
      <c r="C2221" s="21"/>
      <c r="D2221" s="21"/>
      <c r="E2221" s="21"/>
      <c r="F2221" s="21"/>
      <c r="G2221" s="21"/>
      <c r="H2221" s="21"/>
      <c r="I2221" s="21"/>
      <c r="J2221" s="21"/>
      <c r="K2221" s="21"/>
      <c r="L2221" s="21"/>
      <c r="M2221" s="7"/>
      <c r="N2221" s="7"/>
      <c r="O2221" s="7"/>
      <c r="P2221" s="7"/>
      <c r="Q2221" s="7"/>
      <c r="R2221" s="7"/>
      <c r="S2221" s="7"/>
      <c r="T2221" s="7"/>
      <c r="U2221" s="7"/>
      <c r="V2221" s="7"/>
      <c r="W2221" s="7"/>
      <c r="X2221" s="7"/>
      <c r="Y2221" s="7"/>
      <c r="Z2221" s="7"/>
      <c r="AA2221" s="7"/>
      <c r="AB2221" s="7"/>
      <c r="AC2221" s="7"/>
      <c r="AD2221" s="7"/>
      <c r="AE2221" s="7"/>
    </row>
    <row r="2222">
      <c r="A2222" s="7"/>
      <c r="B2222" s="21"/>
      <c r="C2222" s="21"/>
      <c r="D2222" s="21"/>
      <c r="E2222" s="21"/>
      <c r="F2222" s="21"/>
      <c r="G2222" s="21"/>
      <c r="H2222" s="21"/>
      <c r="I2222" s="21"/>
      <c r="J2222" s="21"/>
      <c r="K2222" s="21"/>
      <c r="L2222" s="21"/>
      <c r="M2222" s="7"/>
      <c r="N2222" s="7"/>
      <c r="O2222" s="7"/>
      <c r="P2222" s="7"/>
      <c r="Q2222" s="7"/>
      <c r="R2222" s="7"/>
      <c r="S2222" s="7"/>
      <c r="T2222" s="7"/>
      <c r="U2222" s="7"/>
      <c r="V2222" s="7"/>
      <c r="W2222" s="7"/>
      <c r="X2222" s="7"/>
      <c r="Y2222" s="7"/>
      <c r="Z2222" s="7"/>
      <c r="AA2222" s="7"/>
      <c r="AB2222" s="7"/>
      <c r="AC2222" s="7"/>
      <c r="AD2222" s="7"/>
      <c r="AE2222" s="7"/>
    </row>
    <row r="2223">
      <c r="A2223" s="7"/>
      <c r="B2223" s="21"/>
      <c r="C2223" s="21"/>
      <c r="D2223" s="21"/>
      <c r="E2223" s="21"/>
      <c r="F2223" s="21"/>
      <c r="G2223" s="21"/>
      <c r="H2223" s="21"/>
      <c r="I2223" s="21"/>
      <c r="J2223" s="21"/>
      <c r="K2223" s="21"/>
      <c r="L2223" s="21"/>
      <c r="M2223" s="7"/>
      <c r="N2223" s="7"/>
      <c r="O2223" s="7"/>
      <c r="P2223" s="7"/>
      <c r="Q2223" s="7"/>
      <c r="R2223" s="7"/>
      <c r="S2223" s="7"/>
      <c r="T2223" s="7"/>
      <c r="U2223" s="7"/>
      <c r="V2223" s="7"/>
      <c r="W2223" s="7"/>
      <c r="X2223" s="7"/>
      <c r="Y2223" s="7"/>
      <c r="Z2223" s="7"/>
      <c r="AA2223" s="7"/>
      <c r="AB2223" s="7"/>
      <c r="AC2223" s="7"/>
      <c r="AD2223" s="7"/>
      <c r="AE2223" s="7"/>
    </row>
    <row r="2224">
      <c r="A2224" s="7"/>
      <c r="B2224" s="21"/>
      <c r="C2224" s="21"/>
      <c r="D2224" s="21"/>
      <c r="E2224" s="21"/>
      <c r="F2224" s="21"/>
      <c r="G2224" s="21"/>
      <c r="H2224" s="21"/>
      <c r="I2224" s="21"/>
      <c r="J2224" s="21"/>
      <c r="K2224" s="21"/>
      <c r="L2224" s="21"/>
      <c r="M2224" s="7"/>
      <c r="N2224" s="7"/>
      <c r="O2224" s="7"/>
      <c r="P2224" s="7"/>
      <c r="Q2224" s="7"/>
      <c r="R2224" s="7"/>
      <c r="S2224" s="7"/>
      <c r="T2224" s="7"/>
      <c r="U2224" s="7"/>
      <c r="V2224" s="7"/>
      <c r="W2224" s="7"/>
      <c r="X2224" s="7"/>
      <c r="Y2224" s="7"/>
      <c r="Z2224" s="7"/>
      <c r="AA2224" s="7"/>
      <c r="AB2224" s="7"/>
      <c r="AC2224" s="7"/>
      <c r="AD2224" s="7"/>
      <c r="AE2224" s="7"/>
    </row>
    <row r="2225">
      <c r="A2225" s="7"/>
      <c r="B2225" s="21"/>
      <c r="C2225" s="21"/>
      <c r="D2225" s="21"/>
      <c r="E2225" s="21"/>
      <c r="F2225" s="21"/>
      <c r="G2225" s="21"/>
      <c r="H2225" s="21"/>
      <c r="I2225" s="21"/>
      <c r="J2225" s="21"/>
      <c r="K2225" s="21"/>
      <c r="L2225" s="21"/>
      <c r="M2225" s="7"/>
      <c r="N2225" s="7"/>
      <c r="O2225" s="7"/>
      <c r="P2225" s="7"/>
      <c r="Q2225" s="7"/>
      <c r="R2225" s="7"/>
      <c r="S2225" s="7"/>
      <c r="T2225" s="7"/>
      <c r="U2225" s="7"/>
      <c r="V2225" s="7"/>
      <c r="W2225" s="7"/>
      <c r="X2225" s="7"/>
      <c r="Y2225" s="7"/>
      <c r="Z2225" s="7"/>
      <c r="AA2225" s="7"/>
      <c r="AB2225" s="7"/>
      <c r="AC2225" s="7"/>
      <c r="AD2225" s="7"/>
      <c r="AE2225" s="7"/>
    </row>
    <row r="2226">
      <c r="A2226" s="7"/>
      <c r="B2226" s="21"/>
      <c r="C2226" s="21"/>
      <c r="D2226" s="21"/>
      <c r="E2226" s="21"/>
      <c r="F2226" s="21"/>
      <c r="G2226" s="21"/>
      <c r="H2226" s="21"/>
      <c r="I2226" s="21"/>
      <c r="J2226" s="21"/>
      <c r="K2226" s="21"/>
      <c r="L2226" s="21"/>
      <c r="M2226" s="7"/>
      <c r="N2226" s="7"/>
      <c r="O2226" s="7"/>
      <c r="P2226" s="7"/>
      <c r="Q2226" s="7"/>
      <c r="R2226" s="7"/>
      <c r="S2226" s="7"/>
      <c r="T2226" s="7"/>
      <c r="U2226" s="7"/>
      <c r="V2226" s="7"/>
      <c r="W2226" s="7"/>
      <c r="X2226" s="7"/>
      <c r="Y2226" s="7"/>
      <c r="Z2226" s="7"/>
      <c r="AA2226" s="7"/>
      <c r="AB2226" s="7"/>
      <c r="AC2226" s="7"/>
      <c r="AD2226" s="7"/>
      <c r="AE2226" s="7"/>
    </row>
    <row r="2227">
      <c r="A2227" s="7"/>
      <c r="B2227" s="21"/>
      <c r="C2227" s="21"/>
      <c r="D2227" s="21"/>
      <c r="E2227" s="21"/>
      <c r="F2227" s="21"/>
      <c r="G2227" s="21"/>
      <c r="H2227" s="21"/>
      <c r="I2227" s="21"/>
      <c r="J2227" s="21"/>
      <c r="K2227" s="21"/>
      <c r="L2227" s="21"/>
      <c r="M2227" s="7"/>
      <c r="N2227" s="7"/>
      <c r="O2227" s="7"/>
      <c r="P2227" s="7"/>
      <c r="Q2227" s="7"/>
      <c r="R2227" s="7"/>
      <c r="S2227" s="7"/>
      <c r="T2227" s="7"/>
      <c r="U2227" s="7"/>
      <c r="V2227" s="7"/>
      <c r="W2227" s="7"/>
      <c r="X2227" s="7"/>
      <c r="Y2227" s="7"/>
      <c r="Z2227" s="7"/>
      <c r="AA2227" s="7"/>
      <c r="AB2227" s="7"/>
      <c r="AC2227" s="7"/>
      <c r="AD2227" s="7"/>
      <c r="AE2227" s="7"/>
    </row>
    <row r="2228">
      <c r="A2228" s="7"/>
      <c r="B2228" s="21"/>
      <c r="C2228" s="21"/>
      <c r="D2228" s="21"/>
      <c r="E2228" s="21"/>
      <c r="F2228" s="21"/>
      <c r="G2228" s="21"/>
      <c r="H2228" s="21"/>
      <c r="I2228" s="21"/>
      <c r="J2228" s="21"/>
      <c r="K2228" s="21"/>
      <c r="L2228" s="21"/>
      <c r="M2228" s="7"/>
      <c r="N2228" s="7"/>
      <c r="O2228" s="7"/>
      <c r="P2228" s="7"/>
      <c r="Q2228" s="7"/>
      <c r="R2228" s="7"/>
      <c r="S2228" s="7"/>
      <c r="T2228" s="7"/>
      <c r="U2228" s="7"/>
      <c r="V2228" s="7"/>
      <c r="W2228" s="7"/>
      <c r="X2228" s="7"/>
      <c r="Y2228" s="7"/>
      <c r="Z2228" s="7"/>
      <c r="AA2228" s="7"/>
      <c r="AB2228" s="7"/>
      <c r="AC2228" s="7"/>
      <c r="AD2228" s="7"/>
      <c r="AE2228" s="7"/>
    </row>
    <row r="2229">
      <c r="A2229" s="7"/>
      <c r="B2229" s="21"/>
      <c r="C2229" s="21"/>
      <c r="D2229" s="21"/>
      <c r="E2229" s="21"/>
      <c r="F2229" s="21"/>
      <c r="G2229" s="21"/>
      <c r="H2229" s="21"/>
      <c r="I2229" s="21"/>
      <c r="J2229" s="21"/>
      <c r="K2229" s="21"/>
      <c r="L2229" s="21"/>
      <c r="M2229" s="7"/>
      <c r="N2229" s="7"/>
      <c r="O2229" s="7"/>
      <c r="P2229" s="7"/>
      <c r="Q2229" s="7"/>
      <c r="R2229" s="7"/>
      <c r="S2229" s="7"/>
      <c r="T2229" s="7"/>
      <c r="U2229" s="7"/>
      <c r="V2229" s="7"/>
      <c r="W2229" s="7"/>
      <c r="X2229" s="7"/>
      <c r="Y2229" s="7"/>
      <c r="Z2229" s="7"/>
      <c r="AA2229" s="7"/>
      <c r="AB2229" s="7"/>
      <c r="AC2229" s="7"/>
      <c r="AD2229" s="7"/>
      <c r="AE2229" s="7"/>
    </row>
    <row r="2230">
      <c r="A2230" s="7"/>
      <c r="B2230" s="21"/>
      <c r="C2230" s="21"/>
      <c r="D2230" s="21"/>
      <c r="E2230" s="21"/>
      <c r="F2230" s="21"/>
      <c r="G2230" s="21"/>
      <c r="H2230" s="21"/>
      <c r="I2230" s="21"/>
      <c r="J2230" s="21"/>
      <c r="K2230" s="21"/>
      <c r="L2230" s="21"/>
      <c r="M2230" s="7"/>
      <c r="N2230" s="7"/>
      <c r="O2230" s="7"/>
      <c r="P2230" s="7"/>
      <c r="Q2230" s="7"/>
      <c r="R2230" s="7"/>
      <c r="S2230" s="7"/>
      <c r="T2230" s="7"/>
      <c r="U2230" s="7"/>
      <c r="V2230" s="7"/>
      <c r="W2230" s="7"/>
      <c r="X2230" s="7"/>
      <c r="Y2230" s="7"/>
      <c r="Z2230" s="7"/>
      <c r="AA2230" s="7"/>
      <c r="AB2230" s="7"/>
      <c r="AC2230" s="7"/>
      <c r="AD2230" s="7"/>
      <c r="AE2230" s="7"/>
    </row>
    <row r="2231">
      <c r="A2231" s="7"/>
      <c r="B2231" s="21"/>
      <c r="C2231" s="21"/>
      <c r="D2231" s="21"/>
      <c r="E2231" s="21"/>
      <c r="F2231" s="21"/>
      <c r="G2231" s="21"/>
      <c r="H2231" s="21"/>
      <c r="I2231" s="21"/>
      <c r="J2231" s="21"/>
      <c r="K2231" s="21"/>
      <c r="L2231" s="21"/>
      <c r="M2231" s="7"/>
      <c r="N2231" s="7"/>
      <c r="O2231" s="7"/>
      <c r="P2231" s="7"/>
      <c r="Q2231" s="7"/>
      <c r="R2231" s="7"/>
      <c r="S2231" s="7"/>
      <c r="T2231" s="7"/>
      <c r="U2231" s="7"/>
      <c r="V2231" s="7"/>
      <c r="W2231" s="7"/>
      <c r="X2231" s="7"/>
      <c r="Y2231" s="7"/>
      <c r="Z2231" s="7"/>
      <c r="AA2231" s="7"/>
      <c r="AB2231" s="7"/>
      <c r="AC2231" s="7"/>
      <c r="AD2231" s="7"/>
      <c r="AE2231" s="7"/>
    </row>
    <row r="2232">
      <c r="A2232" s="7"/>
      <c r="B2232" s="21"/>
      <c r="C2232" s="21"/>
      <c r="D2232" s="21"/>
      <c r="E2232" s="21"/>
      <c r="F2232" s="21"/>
      <c r="G2232" s="21"/>
      <c r="H2232" s="21"/>
      <c r="I2232" s="21"/>
      <c r="J2232" s="21"/>
      <c r="K2232" s="21"/>
      <c r="L2232" s="21"/>
      <c r="M2232" s="7"/>
      <c r="N2232" s="7"/>
      <c r="O2232" s="7"/>
      <c r="P2232" s="7"/>
      <c r="Q2232" s="7"/>
      <c r="R2232" s="7"/>
      <c r="S2232" s="7"/>
      <c r="T2232" s="7"/>
      <c r="U2232" s="7"/>
      <c r="V2232" s="7"/>
      <c r="W2232" s="7"/>
      <c r="X2232" s="7"/>
      <c r="Y2232" s="7"/>
      <c r="Z2232" s="7"/>
      <c r="AA2232" s="7"/>
      <c r="AB2232" s="7"/>
      <c r="AC2232" s="7"/>
      <c r="AD2232" s="7"/>
      <c r="AE2232" s="7"/>
    </row>
    <row r="2233">
      <c r="A2233" s="7"/>
      <c r="B2233" s="21"/>
      <c r="C2233" s="21"/>
      <c r="D2233" s="21"/>
      <c r="E2233" s="21"/>
      <c r="F2233" s="21"/>
      <c r="G2233" s="21"/>
      <c r="H2233" s="21"/>
      <c r="I2233" s="21"/>
      <c r="J2233" s="21"/>
      <c r="K2233" s="21"/>
      <c r="L2233" s="21"/>
      <c r="M2233" s="7"/>
      <c r="N2233" s="7"/>
      <c r="O2233" s="7"/>
      <c r="P2233" s="7"/>
      <c r="Q2233" s="7"/>
      <c r="R2233" s="7"/>
      <c r="S2233" s="7"/>
      <c r="T2233" s="7"/>
      <c r="U2233" s="7"/>
      <c r="V2233" s="7"/>
      <c r="W2233" s="7"/>
      <c r="X2233" s="7"/>
      <c r="Y2233" s="7"/>
      <c r="Z2233" s="7"/>
      <c r="AA2233" s="7"/>
      <c r="AB2233" s="7"/>
      <c r="AC2233" s="7"/>
      <c r="AD2233" s="7"/>
      <c r="AE2233" s="7"/>
    </row>
    <row r="2234">
      <c r="A2234" s="7"/>
      <c r="B2234" s="21"/>
      <c r="C2234" s="21"/>
      <c r="D2234" s="21"/>
      <c r="E2234" s="21"/>
      <c r="F2234" s="21"/>
      <c r="G2234" s="21"/>
      <c r="H2234" s="21"/>
      <c r="I2234" s="21"/>
      <c r="J2234" s="21"/>
      <c r="K2234" s="21"/>
      <c r="L2234" s="21"/>
      <c r="M2234" s="7"/>
      <c r="N2234" s="7"/>
      <c r="O2234" s="7"/>
      <c r="P2234" s="7"/>
      <c r="Q2234" s="7"/>
      <c r="R2234" s="7"/>
      <c r="S2234" s="7"/>
      <c r="T2234" s="7"/>
      <c r="U2234" s="7"/>
      <c r="V2234" s="7"/>
      <c r="W2234" s="7"/>
      <c r="X2234" s="7"/>
      <c r="Y2234" s="7"/>
      <c r="Z2234" s="7"/>
      <c r="AA2234" s="7"/>
      <c r="AB2234" s="7"/>
      <c r="AC2234" s="7"/>
      <c r="AD2234" s="7"/>
      <c r="AE2234" s="7"/>
    </row>
    <row r="2235">
      <c r="A2235" s="7"/>
      <c r="B2235" s="21"/>
      <c r="C2235" s="21"/>
      <c r="D2235" s="21"/>
      <c r="E2235" s="21"/>
      <c r="F2235" s="21"/>
      <c r="G2235" s="21"/>
      <c r="H2235" s="21"/>
      <c r="I2235" s="21"/>
      <c r="J2235" s="21"/>
      <c r="K2235" s="21"/>
      <c r="L2235" s="21"/>
      <c r="M2235" s="7"/>
      <c r="N2235" s="7"/>
      <c r="O2235" s="7"/>
      <c r="P2235" s="7"/>
      <c r="Q2235" s="7"/>
      <c r="R2235" s="7"/>
      <c r="S2235" s="7"/>
      <c r="T2235" s="7"/>
      <c r="U2235" s="7"/>
      <c r="V2235" s="7"/>
      <c r="W2235" s="7"/>
      <c r="X2235" s="7"/>
      <c r="Y2235" s="7"/>
      <c r="Z2235" s="7"/>
      <c r="AA2235" s="7"/>
      <c r="AB2235" s="7"/>
      <c r="AC2235" s="7"/>
      <c r="AD2235" s="7"/>
      <c r="AE2235" s="7"/>
    </row>
    <row r="2236">
      <c r="A2236" s="7"/>
      <c r="B2236" s="21"/>
      <c r="C2236" s="21"/>
      <c r="D2236" s="21"/>
      <c r="E2236" s="21"/>
      <c r="F2236" s="21"/>
      <c r="G2236" s="21"/>
      <c r="H2236" s="21"/>
      <c r="I2236" s="21"/>
      <c r="J2236" s="21"/>
      <c r="K2236" s="21"/>
      <c r="L2236" s="21"/>
      <c r="M2236" s="7"/>
      <c r="N2236" s="7"/>
      <c r="O2236" s="7"/>
      <c r="P2236" s="7"/>
      <c r="Q2236" s="7"/>
      <c r="R2236" s="7"/>
      <c r="S2236" s="7"/>
      <c r="T2236" s="7"/>
      <c r="U2236" s="7"/>
      <c r="V2236" s="7"/>
      <c r="W2236" s="7"/>
      <c r="X2236" s="7"/>
      <c r="Y2236" s="7"/>
      <c r="Z2236" s="7"/>
      <c r="AA2236" s="7"/>
      <c r="AB2236" s="7"/>
      <c r="AC2236" s="7"/>
      <c r="AD2236" s="7"/>
      <c r="AE2236" s="7"/>
    </row>
    <row r="2237">
      <c r="A2237" s="7"/>
      <c r="B2237" s="21"/>
      <c r="C2237" s="21"/>
      <c r="D2237" s="21"/>
      <c r="E2237" s="21"/>
      <c r="F2237" s="21"/>
      <c r="G2237" s="21"/>
      <c r="H2237" s="21"/>
      <c r="I2237" s="21"/>
      <c r="J2237" s="21"/>
      <c r="K2237" s="21"/>
      <c r="L2237" s="21"/>
      <c r="M2237" s="7"/>
      <c r="N2237" s="7"/>
      <c r="O2237" s="7"/>
      <c r="P2237" s="7"/>
      <c r="Q2237" s="7"/>
      <c r="R2237" s="7"/>
      <c r="S2237" s="7"/>
      <c r="T2237" s="7"/>
      <c r="U2237" s="7"/>
      <c r="V2237" s="7"/>
      <c r="W2237" s="7"/>
      <c r="X2237" s="7"/>
      <c r="Y2237" s="7"/>
      <c r="Z2237" s="7"/>
      <c r="AA2237" s="7"/>
      <c r="AB2237" s="7"/>
      <c r="AC2237" s="7"/>
      <c r="AD2237" s="7"/>
      <c r="AE2237" s="7"/>
    </row>
    <row r="2238">
      <c r="A2238" s="7"/>
      <c r="B2238" s="21"/>
      <c r="C2238" s="21"/>
      <c r="D2238" s="21"/>
      <c r="E2238" s="21"/>
      <c r="F2238" s="21"/>
      <c r="G2238" s="21"/>
      <c r="H2238" s="21"/>
      <c r="I2238" s="21"/>
      <c r="J2238" s="21"/>
      <c r="K2238" s="21"/>
      <c r="L2238" s="21"/>
      <c r="M2238" s="7"/>
      <c r="N2238" s="7"/>
      <c r="O2238" s="7"/>
      <c r="P2238" s="7"/>
      <c r="Q2238" s="7"/>
      <c r="R2238" s="7"/>
      <c r="S2238" s="7"/>
      <c r="T2238" s="7"/>
      <c r="U2238" s="7"/>
      <c r="V2238" s="7"/>
      <c r="W2238" s="7"/>
      <c r="X2238" s="7"/>
      <c r="Y2238" s="7"/>
      <c r="Z2238" s="7"/>
      <c r="AA2238" s="7"/>
      <c r="AB2238" s="7"/>
      <c r="AC2238" s="7"/>
      <c r="AD2238" s="7"/>
      <c r="AE2238" s="7"/>
    </row>
    <row r="2239">
      <c r="A2239" s="7"/>
      <c r="B2239" s="21"/>
      <c r="C2239" s="21"/>
      <c r="D2239" s="21"/>
      <c r="E2239" s="21"/>
      <c r="F2239" s="21"/>
      <c r="G2239" s="21"/>
      <c r="H2239" s="21"/>
      <c r="I2239" s="21"/>
      <c r="J2239" s="21"/>
      <c r="K2239" s="21"/>
      <c r="L2239" s="21"/>
      <c r="M2239" s="7"/>
      <c r="N2239" s="7"/>
      <c r="O2239" s="7"/>
      <c r="P2239" s="7"/>
      <c r="Q2239" s="7"/>
      <c r="R2239" s="7"/>
      <c r="S2239" s="7"/>
      <c r="T2239" s="7"/>
      <c r="U2239" s="7"/>
      <c r="V2239" s="7"/>
      <c r="W2239" s="7"/>
      <c r="X2239" s="7"/>
      <c r="Y2239" s="7"/>
      <c r="Z2239" s="7"/>
      <c r="AA2239" s="7"/>
      <c r="AB2239" s="7"/>
      <c r="AC2239" s="7"/>
      <c r="AD2239" s="7"/>
      <c r="AE2239" s="7"/>
    </row>
    <row r="2240">
      <c r="A2240" s="7"/>
      <c r="B2240" s="21"/>
      <c r="C2240" s="21"/>
      <c r="D2240" s="21"/>
      <c r="E2240" s="21"/>
      <c r="F2240" s="21"/>
      <c r="G2240" s="21"/>
      <c r="H2240" s="21"/>
      <c r="I2240" s="21"/>
      <c r="J2240" s="21"/>
      <c r="K2240" s="21"/>
      <c r="L2240" s="21"/>
      <c r="M2240" s="7"/>
      <c r="N2240" s="7"/>
      <c r="O2240" s="7"/>
      <c r="P2240" s="7"/>
      <c r="Q2240" s="7"/>
      <c r="R2240" s="7"/>
      <c r="S2240" s="7"/>
      <c r="T2240" s="7"/>
      <c r="U2240" s="7"/>
      <c r="V2240" s="7"/>
      <c r="W2240" s="7"/>
      <c r="X2240" s="7"/>
      <c r="Y2240" s="7"/>
      <c r="Z2240" s="7"/>
      <c r="AA2240" s="7"/>
      <c r="AB2240" s="7"/>
      <c r="AC2240" s="7"/>
      <c r="AD2240" s="7"/>
      <c r="AE2240" s="7"/>
    </row>
    <row r="2241">
      <c r="A2241" s="7"/>
      <c r="B2241" s="21"/>
      <c r="C2241" s="21"/>
      <c r="D2241" s="21"/>
      <c r="E2241" s="21"/>
      <c r="F2241" s="21"/>
      <c r="G2241" s="21"/>
      <c r="H2241" s="21"/>
      <c r="I2241" s="21"/>
      <c r="J2241" s="21"/>
      <c r="K2241" s="21"/>
      <c r="L2241" s="21"/>
      <c r="M2241" s="7"/>
      <c r="N2241" s="7"/>
      <c r="O2241" s="7"/>
      <c r="P2241" s="7"/>
      <c r="Q2241" s="7"/>
      <c r="R2241" s="7"/>
      <c r="S2241" s="7"/>
      <c r="T2241" s="7"/>
      <c r="U2241" s="7"/>
      <c r="V2241" s="7"/>
      <c r="W2241" s="7"/>
      <c r="X2241" s="7"/>
      <c r="Y2241" s="7"/>
      <c r="Z2241" s="7"/>
      <c r="AA2241" s="7"/>
      <c r="AB2241" s="7"/>
      <c r="AC2241" s="7"/>
      <c r="AD2241" s="7"/>
      <c r="AE2241" s="7"/>
    </row>
    <row r="2242">
      <c r="A2242" s="7"/>
      <c r="B2242" s="21"/>
      <c r="C2242" s="21"/>
      <c r="D2242" s="21"/>
      <c r="E2242" s="21"/>
      <c r="F2242" s="21"/>
      <c r="G2242" s="21"/>
      <c r="H2242" s="21"/>
      <c r="I2242" s="21"/>
      <c r="J2242" s="21"/>
      <c r="K2242" s="21"/>
      <c r="L2242" s="21"/>
      <c r="M2242" s="7"/>
      <c r="N2242" s="7"/>
      <c r="O2242" s="7"/>
      <c r="P2242" s="7"/>
      <c r="Q2242" s="7"/>
      <c r="R2242" s="7"/>
      <c r="S2242" s="7"/>
      <c r="T2242" s="7"/>
      <c r="U2242" s="7"/>
      <c r="V2242" s="7"/>
      <c r="W2242" s="7"/>
      <c r="X2242" s="7"/>
      <c r="Y2242" s="7"/>
      <c r="Z2242" s="7"/>
      <c r="AA2242" s="7"/>
      <c r="AB2242" s="7"/>
      <c r="AC2242" s="7"/>
      <c r="AD2242" s="7"/>
      <c r="AE2242" s="7"/>
    </row>
    <row r="2243">
      <c r="A2243" s="7"/>
      <c r="B2243" s="21"/>
      <c r="C2243" s="21"/>
      <c r="D2243" s="21"/>
      <c r="E2243" s="21"/>
      <c r="F2243" s="21"/>
      <c r="G2243" s="21"/>
      <c r="H2243" s="21"/>
      <c r="I2243" s="21"/>
      <c r="J2243" s="21"/>
      <c r="K2243" s="21"/>
      <c r="L2243" s="21"/>
      <c r="M2243" s="7"/>
      <c r="N2243" s="7"/>
      <c r="O2243" s="7"/>
      <c r="P2243" s="7"/>
      <c r="Q2243" s="7"/>
      <c r="R2243" s="7"/>
      <c r="S2243" s="7"/>
      <c r="T2243" s="7"/>
      <c r="U2243" s="7"/>
      <c r="V2243" s="7"/>
      <c r="W2243" s="7"/>
      <c r="X2243" s="7"/>
      <c r="Y2243" s="7"/>
      <c r="Z2243" s="7"/>
      <c r="AA2243" s="7"/>
      <c r="AB2243" s="7"/>
      <c r="AC2243" s="7"/>
      <c r="AD2243" s="7"/>
      <c r="AE2243" s="7"/>
    </row>
    <row r="2244">
      <c r="A2244" s="7"/>
      <c r="B2244" s="21"/>
      <c r="C2244" s="21"/>
      <c r="D2244" s="21"/>
      <c r="E2244" s="21"/>
      <c r="F2244" s="21"/>
      <c r="G2244" s="21"/>
      <c r="H2244" s="21"/>
      <c r="I2244" s="21"/>
      <c r="J2244" s="21"/>
      <c r="K2244" s="21"/>
      <c r="L2244" s="21"/>
      <c r="M2244" s="7"/>
      <c r="N2244" s="7"/>
      <c r="O2244" s="7"/>
      <c r="P2244" s="7"/>
      <c r="Q2244" s="7"/>
      <c r="R2244" s="7"/>
      <c r="S2244" s="7"/>
      <c r="T2244" s="7"/>
      <c r="U2244" s="7"/>
      <c r="V2244" s="7"/>
      <c r="W2244" s="7"/>
      <c r="X2244" s="7"/>
      <c r="Y2244" s="7"/>
      <c r="Z2244" s="7"/>
      <c r="AA2244" s="7"/>
      <c r="AB2244" s="7"/>
      <c r="AC2244" s="7"/>
      <c r="AD2244" s="7"/>
      <c r="AE2244" s="7"/>
    </row>
    <row r="2245">
      <c r="A2245" s="7"/>
      <c r="B2245" s="21"/>
      <c r="C2245" s="21"/>
      <c r="D2245" s="21"/>
      <c r="E2245" s="21"/>
      <c r="F2245" s="21"/>
      <c r="G2245" s="21"/>
      <c r="H2245" s="21"/>
      <c r="I2245" s="21"/>
      <c r="J2245" s="21"/>
      <c r="K2245" s="21"/>
      <c r="L2245" s="21"/>
      <c r="M2245" s="7"/>
      <c r="N2245" s="7"/>
      <c r="O2245" s="7"/>
      <c r="P2245" s="7"/>
      <c r="Q2245" s="7"/>
      <c r="R2245" s="7"/>
      <c r="S2245" s="7"/>
      <c r="T2245" s="7"/>
      <c r="U2245" s="7"/>
      <c r="V2245" s="7"/>
      <c r="W2245" s="7"/>
      <c r="X2245" s="7"/>
      <c r="Y2245" s="7"/>
      <c r="Z2245" s="7"/>
      <c r="AA2245" s="7"/>
      <c r="AB2245" s="7"/>
      <c r="AC2245" s="7"/>
      <c r="AD2245" s="7"/>
      <c r="AE2245" s="7"/>
    </row>
    <row r="2246">
      <c r="A2246" s="7"/>
      <c r="B2246" s="21"/>
      <c r="C2246" s="21"/>
      <c r="D2246" s="21"/>
      <c r="E2246" s="21"/>
      <c r="F2246" s="21"/>
      <c r="G2246" s="21"/>
      <c r="H2246" s="21"/>
      <c r="I2246" s="21"/>
      <c r="J2246" s="21"/>
      <c r="K2246" s="21"/>
      <c r="L2246" s="21"/>
      <c r="M2246" s="7"/>
      <c r="N2246" s="7"/>
      <c r="O2246" s="7"/>
      <c r="P2246" s="7"/>
      <c r="Q2246" s="7"/>
      <c r="R2246" s="7"/>
      <c r="S2246" s="7"/>
      <c r="T2246" s="7"/>
      <c r="U2246" s="7"/>
      <c r="V2246" s="7"/>
      <c r="W2246" s="7"/>
      <c r="X2246" s="7"/>
      <c r="Y2246" s="7"/>
      <c r="Z2246" s="7"/>
      <c r="AA2246" s="7"/>
      <c r="AB2246" s="7"/>
      <c r="AC2246" s="7"/>
      <c r="AD2246" s="7"/>
      <c r="AE2246" s="7"/>
    </row>
    <row r="2247">
      <c r="A2247" s="7"/>
      <c r="B2247" s="21"/>
      <c r="C2247" s="21"/>
      <c r="D2247" s="21"/>
      <c r="E2247" s="21"/>
      <c r="F2247" s="21"/>
      <c r="G2247" s="21"/>
      <c r="H2247" s="21"/>
      <c r="I2247" s="21"/>
      <c r="J2247" s="21"/>
      <c r="K2247" s="21"/>
      <c r="L2247" s="21"/>
      <c r="M2247" s="7"/>
      <c r="N2247" s="7"/>
      <c r="O2247" s="7"/>
      <c r="P2247" s="7"/>
      <c r="Q2247" s="7"/>
      <c r="R2247" s="7"/>
      <c r="S2247" s="7"/>
      <c r="T2247" s="7"/>
      <c r="U2247" s="7"/>
      <c r="V2247" s="7"/>
      <c r="W2247" s="7"/>
      <c r="X2247" s="7"/>
      <c r="Y2247" s="7"/>
      <c r="Z2247" s="7"/>
      <c r="AA2247" s="7"/>
      <c r="AB2247" s="7"/>
      <c r="AC2247" s="7"/>
      <c r="AD2247" s="7"/>
      <c r="AE2247" s="7"/>
    </row>
    <row r="2248">
      <c r="A2248" s="7"/>
      <c r="B2248" s="21"/>
      <c r="C2248" s="21"/>
      <c r="D2248" s="21"/>
      <c r="E2248" s="21"/>
      <c r="F2248" s="21"/>
      <c r="G2248" s="21"/>
      <c r="H2248" s="21"/>
      <c r="I2248" s="21"/>
      <c r="J2248" s="21"/>
      <c r="K2248" s="21"/>
      <c r="L2248" s="21"/>
      <c r="M2248" s="7"/>
      <c r="N2248" s="7"/>
      <c r="O2248" s="7"/>
      <c r="P2248" s="7"/>
      <c r="Q2248" s="7"/>
      <c r="R2248" s="7"/>
      <c r="S2248" s="7"/>
      <c r="T2248" s="7"/>
      <c r="U2248" s="7"/>
      <c r="V2248" s="7"/>
      <c r="W2248" s="7"/>
      <c r="X2248" s="7"/>
      <c r="Y2248" s="7"/>
      <c r="Z2248" s="7"/>
      <c r="AA2248" s="7"/>
      <c r="AB2248" s="7"/>
      <c r="AC2248" s="7"/>
      <c r="AD2248" s="7"/>
      <c r="AE2248" s="7"/>
    </row>
    <row r="2249">
      <c r="A2249" s="7"/>
      <c r="B2249" s="21"/>
      <c r="C2249" s="21"/>
      <c r="D2249" s="21"/>
      <c r="E2249" s="21"/>
      <c r="F2249" s="21"/>
      <c r="G2249" s="21"/>
      <c r="H2249" s="21"/>
      <c r="I2249" s="21"/>
      <c r="J2249" s="21"/>
      <c r="K2249" s="21"/>
      <c r="L2249" s="21"/>
      <c r="M2249" s="7"/>
      <c r="N2249" s="7"/>
      <c r="O2249" s="7"/>
      <c r="P2249" s="7"/>
      <c r="Q2249" s="7"/>
      <c r="R2249" s="7"/>
      <c r="S2249" s="7"/>
      <c r="T2249" s="7"/>
      <c r="U2249" s="7"/>
      <c r="V2249" s="7"/>
      <c r="W2249" s="7"/>
      <c r="X2249" s="7"/>
      <c r="Y2249" s="7"/>
      <c r="Z2249" s="7"/>
      <c r="AA2249" s="7"/>
      <c r="AB2249" s="7"/>
      <c r="AC2249" s="7"/>
      <c r="AD2249" s="7"/>
      <c r="AE2249" s="7"/>
    </row>
    <row r="2250">
      <c r="A2250" s="7"/>
      <c r="B2250" s="21"/>
      <c r="C2250" s="21"/>
      <c r="D2250" s="21"/>
      <c r="E2250" s="21"/>
      <c r="F2250" s="21"/>
      <c r="G2250" s="21"/>
      <c r="H2250" s="21"/>
      <c r="I2250" s="21"/>
      <c r="J2250" s="21"/>
      <c r="K2250" s="21"/>
      <c r="L2250" s="21"/>
      <c r="M2250" s="7"/>
      <c r="N2250" s="7"/>
      <c r="O2250" s="7"/>
      <c r="P2250" s="7"/>
      <c r="Q2250" s="7"/>
      <c r="R2250" s="7"/>
      <c r="S2250" s="7"/>
      <c r="T2250" s="7"/>
      <c r="U2250" s="7"/>
      <c r="V2250" s="7"/>
      <c r="W2250" s="7"/>
      <c r="X2250" s="7"/>
      <c r="Y2250" s="7"/>
      <c r="Z2250" s="7"/>
      <c r="AA2250" s="7"/>
      <c r="AB2250" s="7"/>
      <c r="AC2250" s="7"/>
      <c r="AD2250" s="7"/>
      <c r="AE2250" s="7"/>
    </row>
    <row r="2251">
      <c r="A2251" s="7"/>
      <c r="B2251" s="21"/>
      <c r="C2251" s="21"/>
      <c r="D2251" s="21"/>
      <c r="E2251" s="21"/>
      <c r="F2251" s="21"/>
      <c r="G2251" s="21"/>
      <c r="H2251" s="21"/>
      <c r="I2251" s="21"/>
      <c r="J2251" s="21"/>
      <c r="K2251" s="21"/>
      <c r="L2251" s="21"/>
      <c r="M2251" s="7"/>
      <c r="N2251" s="7"/>
      <c r="O2251" s="7"/>
      <c r="P2251" s="7"/>
      <c r="Q2251" s="7"/>
      <c r="R2251" s="7"/>
      <c r="S2251" s="7"/>
      <c r="T2251" s="7"/>
      <c r="U2251" s="7"/>
      <c r="V2251" s="7"/>
      <c r="W2251" s="7"/>
      <c r="X2251" s="7"/>
      <c r="Y2251" s="7"/>
      <c r="Z2251" s="7"/>
      <c r="AA2251" s="7"/>
      <c r="AB2251" s="7"/>
      <c r="AC2251" s="7"/>
      <c r="AD2251" s="7"/>
      <c r="AE2251" s="7"/>
    </row>
    <row r="2252">
      <c r="A2252" s="7"/>
      <c r="B2252" s="21"/>
      <c r="C2252" s="21"/>
      <c r="D2252" s="21"/>
      <c r="E2252" s="21"/>
      <c r="F2252" s="21"/>
      <c r="G2252" s="21"/>
      <c r="H2252" s="21"/>
      <c r="I2252" s="21"/>
      <c r="J2252" s="21"/>
      <c r="K2252" s="21"/>
      <c r="L2252" s="21"/>
      <c r="M2252" s="7"/>
      <c r="N2252" s="7"/>
      <c r="O2252" s="7"/>
      <c r="P2252" s="7"/>
      <c r="Q2252" s="7"/>
      <c r="R2252" s="7"/>
      <c r="S2252" s="7"/>
      <c r="T2252" s="7"/>
      <c r="U2252" s="7"/>
      <c r="V2252" s="7"/>
      <c r="W2252" s="7"/>
      <c r="X2252" s="7"/>
      <c r="Y2252" s="7"/>
      <c r="Z2252" s="7"/>
      <c r="AA2252" s="7"/>
      <c r="AB2252" s="7"/>
      <c r="AC2252" s="7"/>
      <c r="AD2252" s="7"/>
      <c r="AE2252" s="7"/>
    </row>
    <row r="2253">
      <c r="A2253" s="7"/>
      <c r="B2253" s="21"/>
      <c r="C2253" s="21"/>
      <c r="D2253" s="21"/>
      <c r="E2253" s="21"/>
      <c r="F2253" s="21"/>
      <c r="G2253" s="21"/>
      <c r="H2253" s="21"/>
      <c r="I2253" s="21"/>
      <c r="J2253" s="21"/>
      <c r="K2253" s="21"/>
      <c r="L2253" s="21"/>
      <c r="M2253" s="7"/>
      <c r="N2253" s="7"/>
      <c r="O2253" s="7"/>
      <c r="P2253" s="7"/>
      <c r="Q2253" s="7"/>
      <c r="R2253" s="7"/>
      <c r="S2253" s="7"/>
      <c r="T2253" s="7"/>
      <c r="U2253" s="7"/>
      <c r="V2253" s="7"/>
      <c r="W2253" s="7"/>
      <c r="X2253" s="7"/>
      <c r="Y2253" s="7"/>
      <c r="Z2253" s="7"/>
      <c r="AA2253" s="7"/>
      <c r="AB2253" s="7"/>
      <c r="AC2253" s="7"/>
      <c r="AD2253" s="7"/>
      <c r="AE2253" s="7"/>
    </row>
    <row r="2254">
      <c r="A2254" s="7"/>
      <c r="B2254" s="21"/>
      <c r="C2254" s="21"/>
      <c r="D2254" s="21"/>
      <c r="E2254" s="21"/>
      <c r="F2254" s="21"/>
      <c r="G2254" s="21"/>
      <c r="H2254" s="21"/>
      <c r="I2254" s="21"/>
      <c r="J2254" s="21"/>
      <c r="K2254" s="21"/>
      <c r="L2254" s="21"/>
      <c r="M2254" s="7"/>
      <c r="N2254" s="7"/>
      <c r="O2254" s="7"/>
      <c r="P2254" s="7"/>
      <c r="Q2254" s="7"/>
      <c r="R2254" s="7"/>
      <c r="S2254" s="7"/>
      <c r="T2254" s="7"/>
      <c r="U2254" s="7"/>
      <c r="V2254" s="7"/>
      <c r="W2254" s="7"/>
      <c r="X2254" s="7"/>
      <c r="Y2254" s="7"/>
      <c r="Z2254" s="7"/>
      <c r="AA2254" s="7"/>
      <c r="AB2254" s="7"/>
      <c r="AC2254" s="7"/>
      <c r="AD2254" s="7"/>
      <c r="AE2254" s="7"/>
    </row>
    <row r="2255">
      <c r="A2255" s="7"/>
      <c r="B2255" s="21"/>
      <c r="C2255" s="21"/>
      <c r="D2255" s="21"/>
      <c r="E2255" s="21"/>
      <c r="F2255" s="21"/>
      <c r="G2255" s="21"/>
      <c r="H2255" s="21"/>
      <c r="I2255" s="21"/>
      <c r="J2255" s="21"/>
      <c r="K2255" s="21"/>
      <c r="L2255" s="21"/>
      <c r="M2255" s="7"/>
      <c r="N2255" s="7"/>
      <c r="O2255" s="7"/>
      <c r="P2255" s="7"/>
      <c r="Q2255" s="7"/>
      <c r="R2255" s="7"/>
      <c r="S2255" s="7"/>
      <c r="T2255" s="7"/>
      <c r="U2255" s="7"/>
      <c r="V2255" s="7"/>
      <c r="W2255" s="7"/>
      <c r="X2255" s="7"/>
      <c r="Y2255" s="7"/>
      <c r="Z2255" s="7"/>
      <c r="AA2255" s="7"/>
      <c r="AB2255" s="7"/>
      <c r="AC2255" s="7"/>
      <c r="AD2255" s="7"/>
      <c r="AE2255" s="7"/>
    </row>
    <row r="2256">
      <c r="A2256" s="7"/>
      <c r="B2256" s="21"/>
      <c r="C2256" s="21"/>
      <c r="D2256" s="21"/>
      <c r="E2256" s="21"/>
      <c r="F2256" s="21"/>
      <c r="G2256" s="21"/>
      <c r="H2256" s="21"/>
      <c r="I2256" s="21"/>
      <c r="J2256" s="21"/>
      <c r="K2256" s="21"/>
      <c r="L2256" s="21"/>
      <c r="M2256" s="7"/>
      <c r="N2256" s="7"/>
      <c r="O2256" s="7"/>
      <c r="P2256" s="7"/>
      <c r="Q2256" s="7"/>
      <c r="R2256" s="7"/>
      <c r="S2256" s="7"/>
      <c r="T2256" s="7"/>
      <c r="U2256" s="7"/>
      <c r="V2256" s="7"/>
      <c r="W2256" s="7"/>
      <c r="X2256" s="7"/>
      <c r="Y2256" s="7"/>
      <c r="Z2256" s="7"/>
      <c r="AA2256" s="7"/>
      <c r="AB2256" s="7"/>
      <c r="AC2256" s="7"/>
      <c r="AD2256" s="7"/>
      <c r="AE2256" s="7"/>
    </row>
    <row r="2257">
      <c r="A2257" s="7"/>
      <c r="B2257" s="21"/>
      <c r="C2257" s="21"/>
      <c r="D2257" s="21"/>
      <c r="E2257" s="21"/>
      <c r="F2257" s="21"/>
      <c r="G2257" s="21"/>
      <c r="H2257" s="21"/>
      <c r="I2257" s="21"/>
      <c r="J2257" s="21"/>
      <c r="K2257" s="21"/>
      <c r="L2257" s="21"/>
      <c r="M2257" s="7"/>
      <c r="N2257" s="7"/>
      <c r="O2257" s="7"/>
      <c r="P2257" s="7"/>
      <c r="Q2257" s="7"/>
      <c r="R2257" s="7"/>
      <c r="S2257" s="7"/>
      <c r="T2257" s="7"/>
      <c r="U2257" s="7"/>
      <c r="V2257" s="7"/>
      <c r="W2257" s="7"/>
      <c r="X2257" s="7"/>
      <c r="Y2257" s="7"/>
      <c r="Z2257" s="7"/>
      <c r="AA2257" s="7"/>
      <c r="AB2257" s="7"/>
      <c r="AC2257" s="7"/>
      <c r="AD2257" s="7"/>
      <c r="AE2257" s="7"/>
    </row>
    <row r="2258">
      <c r="A2258" s="7"/>
      <c r="B2258" s="21"/>
      <c r="C2258" s="21"/>
      <c r="D2258" s="21"/>
      <c r="E2258" s="21"/>
      <c r="F2258" s="21"/>
      <c r="G2258" s="21"/>
      <c r="H2258" s="21"/>
      <c r="I2258" s="21"/>
      <c r="J2258" s="21"/>
      <c r="K2258" s="21"/>
      <c r="L2258" s="21"/>
      <c r="M2258" s="7"/>
      <c r="N2258" s="7"/>
      <c r="O2258" s="7"/>
      <c r="P2258" s="7"/>
      <c r="Q2258" s="7"/>
      <c r="R2258" s="7"/>
      <c r="S2258" s="7"/>
      <c r="T2258" s="7"/>
      <c r="U2258" s="7"/>
      <c r="V2258" s="7"/>
      <c r="W2258" s="7"/>
      <c r="X2258" s="7"/>
      <c r="Y2258" s="7"/>
      <c r="Z2258" s="7"/>
      <c r="AA2258" s="7"/>
      <c r="AB2258" s="7"/>
      <c r="AC2258" s="7"/>
      <c r="AD2258" s="7"/>
      <c r="AE2258" s="7"/>
    </row>
    <row r="2259">
      <c r="A2259" s="7"/>
      <c r="B2259" s="21"/>
      <c r="C2259" s="21"/>
      <c r="D2259" s="21"/>
      <c r="E2259" s="21"/>
      <c r="F2259" s="21"/>
      <c r="G2259" s="21"/>
      <c r="H2259" s="21"/>
      <c r="I2259" s="21"/>
      <c r="J2259" s="21"/>
      <c r="K2259" s="21"/>
      <c r="L2259" s="21"/>
      <c r="M2259" s="7"/>
      <c r="N2259" s="7"/>
      <c r="O2259" s="7"/>
      <c r="P2259" s="7"/>
      <c r="Q2259" s="7"/>
      <c r="R2259" s="7"/>
      <c r="S2259" s="7"/>
      <c r="T2259" s="7"/>
      <c r="U2259" s="7"/>
      <c r="V2259" s="7"/>
      <c r="W2259" s="7"/>
      <c r="X2259" s="7"/>
      <c r="Y2259" s="7"/>
      <c r="Z2259" s="7"/>
      <c r="AA2259" s="7"/>
      <c r="AB2259" s="7"/>
      <c r="AC2259" s="7"/>
      <c r="AD2259" s="7"/>
      <c r="AE2259" s="7"/>
    </row>
    <row r="2260">
      <c r="A2260" s="7"/>
      <c r="B2260" s="21"/>
      <c r="C2260" s="21"/>
      <c r="D2260" s="21"/>
      <c r="E2260" s="21"/>
      <c r="F2260" s="21"/>
      <c r="G2260" s="21"/>
      <c r="H2260" s="21"/>
      <c r="I2260" s="21"/>
      <c r="J2260" s="21"/>
      <c r="K2260" s="21"/>
      <c r="L2260" s="21"/>
      <c r="M2260" s="7"/>
      <c r="N2260" s="7"/>
      <c r="O2260" s="7"/>
      <c r="P2260" s="7"/>
      <c r="Q2260" s="7"/>
      <c r="R2260" s="7"/>
      <c r="S2260" s="7"/>
      <c r="T2260" s="7"/>
      <c r="U2260" s="7"/>
      <c r="V2260" s="7"/>
      <c r="W2260" s="7"/>
      <c r="X2260" s="7"/>
      <c r="Y2260" s="7"/>
      <c r="Z2260" s="7"/>
      <c r="AA2260" s="7"/>
      <c r="AB2260" s="7"/>
      <c r="AC2260" s="7"/>
      <c r="AD2260" s="7"/>
      <c r="AE2260" s="7"/>
    </row>
    <row r="2261">
      <c r="A2261" s="7"/>
      <c r="B2261" s="21"/>
      <c r="C2261" s="21"/>
      <c r="D2261" s="21"/>
      <c r="E2261" s="21"/>
      <c r="F2261" s="21"/>
      <c r="G2261" s="21"/>
      <c r="H2261" s="21"/>
      <c r="I2261" s="21"/>
      <c r="J2261" s="21"/>
      <c r="K2261" s="21"/>
      <c r="L2261" s="21"/>
      <c r="M2261" s="7"/>
      <c r="N2261" s="7"/>
      <c r="O2261" s="7"/>
      <c r="P2261" s="7"/>
      <c r="Q2261" s="7"/>
      <c r="R2261" s="7"/>
      <c r="S2261" s="7"/>
      <c r="T2261" s="7"/>
      <c r="U2261" s="7"/>
      <c r="V2261" s="7"/>
      <c r="W2261" s="7"/>
      <c r="X2261" s="7"/>
      <c r="Y2261" s="7"/>
      <c r="Z2261" s="7"/>
      <c r="AA2261" s="7"/>
      <c r="AB2261" s="7"/>
      <c r="AC2261" s="7"/>
      <c r="AD2261" s="7"/>
      <c r="AE2261" s="7"/>
    </row>
    <row r="2262">
      <c r="A2262" s="7"/>
      <c r="B2262" s="21"/>
      <c r="C2262" s="21"/>
      <c r="D2262" s="21"/>
      <c r="E2262" s="21"/>
      <c r="F2262" s="21"/>
      <c r="G2262" s="21"/>
      <c r="H2262" s="21"/>
      <c r="I2262" s="21"/>
      <c r="J2262" s="21"/>
      <c r="K2262" s="21"/>
      <c r="L2262" s="21"/>
      <c r="M2262" s="7"/>
      <c r="N2262" s="7"/>
      <c r="O2262" s="7"/>
      <c r="P2262" s="7"/>
      <c r="Q2262" s="7"/>
      <c r="R2262" s="7"/>
      <c r="S2262" s="7"/>
      <c r="T2262" s="7"/>
      <c r="U2262" s="7"/>
      <c r="V2262" s="7"/>
      <c r="W2262" s="7"/>
      <c r="X2262" s="7"/>
      <c r="Y2262" s="7"/>
      <c r="Z2262" s="7"/>
      <c r="AA2262" s="7"/>
      <c r="AB2262" s="7"/>
      <c r="AC2262" s="7"/>
      <c r="AD2262" s="7"/>
      <c r="AE2262" s="7"/>
    </row>
    <row r="2263">
      <c r="A2263" s="7"/>
      <c r="B2263" s="21"/>
      <c r="C2263" s="21"/>
      <c r="D2263" s="21"/>
      <c r="E2263" s="21"/>
      <c r="F2263" s="21"/>
      <c r="G2263" s="21"/>
      <c r="H2263" s="21"/>
      <c r="I2263" s="21"/>
      <c r="J2263" s="21"/>
      <c r="K2263" s="21"/>
      <c r="L2263" s="21"/>
      <c r="M2263" s="7"/>
      <c r="N2263" s="7"/>
      <c r="O2263" s="7"/>
      <c r="P2263" s="7"/>
      <c r="Q2263" s="7"/>
      <c r="R2263" s="7"/>
      <c r="S2263" s="7"/>
      <c r="T2263" s="7"/>
      <c r="U2263" s="7"/>
      <c r="V2263" s="7"/>
      <c r="W2263" s="7"/>
      <c r="X2263" s="7"/>
      <c r="Y2263" s="7"/>
      <c r="Z2263" s="7"/>
      <c r="AA2263" s="7"/>
      <c r="AB2263" s="7"/>
      <c r="AC2263" s="7"/>
      <c r="AD2263" s="7"/>
      <c r="AE2263" s="7"/>
    </row>
    <row r="2264">
      <c r="A2264" s="7"/>
      <c r="B2264" s="21"/>
      <c r="C2264" s="21"/>
      <c r="D2264" s="21"/>
      <c r="E2264" s="21"/>
      <c r="F2264" s="21"/>
      <c r="G2264" s="21"/>
      <c r="H2264" s="21"/>
      <c r="I2264" s="21"/>
      <c r="J2264" s="21"/>
      <c r="K2264" s="21"/>
      <c r="L2264" s="21"/>
      <c r="M2264" s="7"/>
      <c r="N2264" s="7"/>
      <c r="O2264" s="7"/>
      <c r="P2264" s="7"/>
      <c r="Q2264" s="7"/>
      <c r="R2264" s="7"/>
      <c r="S2264" s="7"/>
      <c r="T2264" s="7"/>
      <c r="U2264" s="7"/>
      <c r="V2264" s="7"/>
      <c r="W2264" s="7"/>
      <c r="X2264" s="7"/>
      <c r="Y2264" s="7"/>
      <c r="Z2264" s="7"/>
      <c r="AA2264" s="7"/>
      <c r="AB2264" s="7"/>
      <c r="AC2264" s="7"/>
      <c r="AD2264" s="7"/>
      <c r="AE2264" s="7"/>
    </row>
    <row r="2265">
      <c r="A2265" s="7"/>
      <c r="B2265" s="21"/>
      <c r="C2265" s="21"/>
      <c r="D2265" s="21"/>
      <c r="E2265" s="21"/>
      <c r="F2265" s="21"/>
      <c r="G2265" s="21"/>
      <c r="H2265" s="21"/>
      <c r="I2265" s="21"/>
      <c r="J2265" s="21"/>
      <c r="K2265" s="21"/>
      <c r="L2265" s="21"/>
      <c r="M2265" s="7"/>
      <c r="N2265" s="7"/>
      <c r="O2265" s="7"/>
      <c r="P2265" s="7"/>
      <c r="Q2265" s="7"/>
      <c r="R2265" s="7"/>
      <c r="S2265" s="7"/>
      <c r="T2265" s="7"/>
      <c r="U2265" s="7"/>
      <c r="V2265" s="7"/>
      <c r="W2265" s="7"/>
      <c r="X2265" s="7"/>
      <c r="Y2265" s="7"/>
      <c r="Z2265" s="7"/>
      <c r="AA2265" s="7"/>
      <c r="AB2265" s="7"/>
      <c r="AC2265" s="7"/>
      <c r="AD2265" s="7"/>
      <c r="AE2265" s="7"/>
    </row>
    <row r="2266">
      <c r="A2266" s="7"/>
      <c r="B2266" s="21"/>
      <c r="C2266" s="21"/>
      <c r="D2266" s="21"/>
      <c r="E2266" s="21"/>
      <c r="F2266" s="21"/>
      <c r="G2266" s="21"/>
      <c r="H2266" s="21"/>
      <c r="I2266" s="21"/>
      <c r="J2266" s="21"/>
      <c r="K2266" s="21"/>
      <c r="L2266" s="21"/>
      <c r="M2266" s="7"/>
      <c r="N2266" s="7"/>
      <c r="O2266" s="7"/>
      <c r="P2266" s="7"/>
      <c r="Q2266" s="7"/>
      <c r="R2266" s="7"/>
      <c r="S2266" s="7"/>
      <c r="T2266" s="7"/>
      <c r="U2266" s="7"/>
      <c r="V2266" s="7"/>
      <c r="W2266" s="7"/>
      <c r="X2266" s="7"/>
      <c r="Y2266" s="7"/>
      <c r="Z2266" s="7"/>
      <c r="AA2266" s="7"/>
      <c r="AB2266" s="7"/>
      <c r="AC2266" s="7"/>
      <c r="AD2266" s="7"/>
      <c r="AE2266" s="7"/>
    </row>
    <row r="2267">
      <c r="A2267" s="7"/>
      <c r="B2267" s="21"/>
      <c r="C2267" s="21"/>
      <c r="D2267" s="21"/>
      <c r="E2267" s="21"/>
      <c r="F2267" s="21"/>
      <c r="G2267" s="21"/>
      <c r="H2267" s="21"/>
      <c r="I2267" s="21"/>
      <c r="J2267" s="21"/>
      <c r="K2267" s="21"/>
      <c r="L2267" s="21"/>
      <c r="M2267" s="7"/>
      <c r="N2267" s="7"/>
      <c r="O2267" s="7"/>
      <c r="P2267" s="7"/>
      <c r="Q2267" s="7"/>
      <c r="R2267" s="7"/>
      <c r="S2267" s="7"/>
      <c r="T2267" s="7"/>
      <c r="U2267" s="7"/>
      <c r="V2267" s="7"/>
      <c r="W2267" s="7"/>
      <c r="X2267" s="7"/>
      <c r="Y2267" s="7"/>
      <c r="Z2267" s="7"/>
      <c r="AA2267" s="7"/>
      <c r="AB2267" s="7"/>
      <c r="AC2267" s="7"/>
      <c r="AD2267" s="7"/>
      <c r="AE2267" s="7"/>
    </row>
    <row r="2268">
      <c r="A2268" s="7"/>
      <c r="B2268" s="21"/>
      <c r="C2268" s="21"/>
      <c r="D2268" s="21"/>
      <c r="E2268" s="21"/>
      <c r="F2268" s="21"/>
      <c r="G2268" s="21"/>
      <c r="H2268" s="21"/>
      <c r="I2268" s="21"/>
      <c r="J2268" s="21"/>
      <c r="K2268" s="21"/>
      <c r="L2268" s="21"/>
      <c r="M2268" s="7"/>
      <c r="N2268" s="7"/>
      <c r="O2268" s="7"/>
      <c r="P2268" s="7"/>
      <c r="Q2268" s="7"/>
      <c r="R2268" s="7"/>
      <c r="S2268" s="7"/>
      <c r="T2268" s="7"/>
      <c r="U2268" s="7"/>
      <c r="V2268" s="7"/>
      <c r="W2268" s="7"/>
      <c r="X2268" s="7"/>
      <c r="Y2268" s="7"/>
      <c r="Z2268" s="7"/>
      <c r="AA2268" s="7"/>
      <c r="AB2268" s="7"/>
      <c r="AC2268" s="7"/>
      <c r="AD2268" s="7"/>
      <c r="AE2268" s="7"/>
    </row>
    <row r="2269">
      <c r="A2269" s="7"/>
      <c r="B2269" s="21"/>
      <c r="C2269" s="21"/>
      <c r="D2269" s="21"/>
      <c r="E2269" s="21"/>
      <c r="F2269" s="21"/>
      <c r="G2269" s="21"/>
      <c r="H2269" s="21"/>
      <c r="I2269" s="21"/>
      <c r="J2269" s="21"/>
      <c r="K2269" s="21"/>
      <c r="L2269" s="21"/>
      <c r="M2269" s="7"/>
      <c r="N2269" s="7"/>
      <c r="O2269" s="7"/>
      <c r="P2269" s="7"/>
      <c r="Q2269" s="7"/>
      <c r="R2269" s="7"/>
      <c r="S2269" s="7"/>
      <c r="T2269" s="7"/>
      <c r="U2269" s="7"/>
      <c r="V2269" s="7"/>
      <c r="W2269" s="7"/>
      <c r="X2269" s="7"/>
      <c r="Y2269" s="7"/>
      <c r="Z2269" s="7"/>
      <c r="AA2269" s="7"/>
      <c r="AB2269" s="7"/>
      <c r="AC2269" s="7"/>
      <c r="AD2269" s="7"/>
      <c r="AE2269" s="7"/>
    </row>
    <row r="2270">
      <c r="A2270" s="7"/>
      <c r="B2270" s="21"/>
      <c r="C2270" s="21"/>
      <c r="D2270" s="21"/>
      <c r="E2270" s="21"/>
      <c r="F2270" s="21"/>
      <c r="G2270" s="21"/>
      <c r="H2270" s="21"/>
      <c r="I2270" s="21"/>
      <c r="J2270" s="21"/>
      <c r="K2270" s="21"/>
      <c r="L2270" s="21"/>
      <c r="M2270" s="7"/>
      <c r="N2270" s="7"/>
      <c r="O2270" s="7"/>
      <c r="P2270" s="7"/>
      <c r="Q2270" s="7"/>
      <c r="R2270" s="7"/>
      <c r="S2270" s="7"/>
      <c r="T2270" s="7"/>
      <c r="U2270" s="7"/>
      <c r="V2270" s="7"/>
      <c r="W2270" s="7"/>
      <c r="X2270" s="7"/>
      <c r="Y2270" s="7"/>
      <c r="Z2270" s="7"/>
      <c r="AA2270" s="7"/>
      <c r="AB2270" s="7"/>
      <c r="AC2270" s="7"/>
      <c r="AD2270" s="7"/>
      <c r="AE2270" s="7"/>
    </row>
    <row r="2271">
      <c r="A2271" s="7"/>
      <c r="B2271" s="21"/>
      <c r="C2271" s="21"/>
      <c r="D2271" s="21"/>
      <c r="E2271" s="21"/>
      <c r="F2271" s="21"/>
      <c r="G2271" s="21"/>
      <c r="H2271" s="21"/>
      <c r="I2271" s="21"/>
      <c r="J2271" s="21"/>
      <c r="K2271" s="21"/>
      <c r="L2271" s="21"/>
      <c r="M2271" s="7"/>
      <c r="N2271" s="7"/>
      <c r="O2271" s="7"/>
      <c r="P2271" s="7"/>
      <c r="Q2271" s="7"/>
      <c r="R2271" s="7"/>
      <c r="S2271" s="7"/>
      <c r="T2271" s="7"/>
      <c r="U2271" s="7"/>
      <c r="V2271" s="7"/>
      <c r="W2271" s="7"/>
      <c r="X2271" s="7"/>
      <c r="Y2271" s="7"/>
      <c r="Z2271" s="7"/>
      <c r="AA2271" s="7"/>
      <c r="AB2271" s="7"/>
      <c r="AC2271" s="7"/>
      <c r="AD2271" s="7"/>
      <c r="AE2271" s="7"/>
    </row>
    <row r="2272">
      <c r="A2272" s="7"/>
      <c r="B2272" s="21"/>
      <c r="C2272" s="21"/>
      <c r="D2272" s="21"/>
      <c r="E2272" s="21"/>
      <c r="F2272" s="21"/>
      <c r="G2272" s="21"/>
      <c r="H2272" s="21"/>
      <c r="I2272" s="21"/>
      <c r="J2272" s="21"/>
      <c r="K2272" s="21"/>
      <c r="L2272" s="21"/>
      <c r="M2272" s="7"/>
      <c r="N2272" s="7"/>
      <c r="O2272" s="7"/>
      <c r="P2272" s="7"/>
      <c r="Q2272" s="7"/>
      <c r="R2272" s="7"/>
      <c r="S2272" s="7"/>
      <c r="T2272" s="7"/>
      <c r="U2272" s="7"/>
      <c r="V2272" s="7"/>
      <c r="W2272" s="7"/>
      <c r="X2272" s="7"/>
      <c r="Y2272" s="7"/>
      <c r="Z2272" s="7"/>
      <c r="AA2272" s="7"/>
      <c r="AB2272" s="7"/>
      <c r="AC2272" s="7"/>
      <c r="AD2272" s="7"/>
      <c r="AE2272" s="7"/>
    </row>
    <row r="2273">
      <c r="A2273" s="7"/>
      <c r="B2273" s="21"/>
      <c r="C2273" s="21"/>
      <c r="D2273" s="21"/>
      <c r="E2273" s="21"/>
      <c r="F2273" s="21"/>
      <c r="G2273" s="21"/>
      <c r="H2273" s="21"/>
      <c r="I2273" s="21"/>
      <c r="J2273" s="21"/>
      <c r="K2273" s="21"/>
      <c r="L2273" s="21"/>
      <c r="M2273" s="7"/>
      <c r="N2273" s="7"/>
      <c r="O2273" s="7"/>
      <c r="P2273" s="7"/>
      <c r="Q2273" s="7"/>
      <c r="R2273" s="7"/>
      <c r="S2273" s="7"/>
      <c r="T2273" s="7"/>
      <c r="U2273" s="7"/>
      <c r="V2273" s="7"/>
      <c r="W2273" s="7"/>
      <c r="X2273" s="7"/>
      <c r="Y2273" s="7"/>
      <c r="Z2273" s="7"/>
      <c r="AA2273" s="7"/>
      <c r="AB2273" s="7"/>
      <c r="AC2273" s="7"/>
      <c r="AD2273" s="7"/>
      <c r="AE2273" s="7"/>
    </row>
    <row r="2274">
      <c r="A2274" s="7"/>
      <c r="B2274" s="21"/>
      <c r="C2274" s="21"/>
      <c r="D2274" s="21"/>
      <c r="E2274" s="21"/>
      <c r="F2274" s="21"/>
      <c r="G2274" s="21"/>
      <c r="H2274" s="21"/>
      <c r="I2274" s="21"/>
      <c r="J2274" s="21"/>
      <c r="K2274" s="21"/>
      <c r="L2274" s="21"/>
      <c r="M2274" s="7"/>
      <c r="N2274" s="7"/>
      <c r="O2274" s="7"/>
      <c r="P2274" s="7"/>
      <c r="Q2274" s="7"/>
      <c r="R2274" s="7"/>
      <c r="S2274" s="7"/>
      <c r="T2274" s="7"/>
      <c r="U2274" s="7"/>
      <c r="V2274" s="7"/>
      <c r="W2274" s="7"/>
      <c r="X2274" s="7"/>
      <c r="Y2274" s="7"/>
      <c r="Z2274" s="7"/>
      <c r="AA2274" s="7"/>
      <c r="AB2274" s="7"/>
      <c r="AC2274" s="7"/>
      <c r="AD2274" s="7"/>
      <c r="AE2274" s="7"/>
    </row>
    <row r="2275">
      <c r="A2275" s="7"/>
      <c r="B2275" s="21"/>
      <c r="C2275" s="21"/>
      <c r="D2275" s="21"/>
      <c r="E2275" s="21"/>
      <c r="F2275" s="21"/>
      <c r="G2275" s="21"/>
      <c r="H2275" s="21"/>
      <c r="I2275" s="21"/>
      <c r="J2275" s="21"/>
      <c r="K2275" s="21"/>
      <c r="L2275" s="21"/>
      <c r="M2275" s="7"/>
      <c r="N2275" s="7"/>
      <c r="O2275" s="7"/>
      <c r="P2275" s="7"/>
      <c r="Q2275" s="7"/>
      <c r="R2275" s="7"/>
      <c r="S2275" s="7"/>
      <c r="T2275" s="7"/>
      <c r="U2275" s="7"/>
      <c r="V2275" s="7"/>
      <c r="W2275" s="7"/>
      <c r="X2275" s="7"/>
      <c r="Y2275" s="7"/>
      <c r="Z2275" s="7"/>
      <c r="AA2275" s="7"/>
      <c r="AB2275" s="7"/>
      <c r="AC2275" s="7"/>
      <c r="AD2275" s="7"/>
      <c r="AE2275" s="7"/>
    </row>
    <row r="2276">
      <c r="A2276" s="7"/>
      <c r="B2276" s="21"/>
      <c r="C2276" s="21"/>
      <c r="D2276" s="21"/>
      <c r="E2276" s="21"/>
      <c r="F2276" s="21"/>
      <c r="G2276" s="21"/>
      <c r="H2276" s="21"/>
      <c r="I2276" s="21"/>
      <c r="J2276" s="21"/>
      <c r="K2276" s="21"/>
      <c r="L2276" s="21"/>
      <c r="M2276" s="7"/>
      <c r="N2276" s="7"/>
      <c r="O2276" s="7"/>
      <c r="P2276" s="7"/>
      <c r="Q2276" s="7"/>
      <c r="R2276" s="7"/>
      <c r="S2276" s="7"/>
      <c r="T2276" s="7"/>
      <c r="U2276" s="7"/>
      <c r="V2276" s="7"/>
      <c r="W2276" s="7"/>
      <c r="X2276" s="7"/>
      <c r="Y2276" s="7"/>
      <c r="Z2276" s="7"/>
      <c r="AA2276" s="7"/>
      <c r="AB2276" s="7"/>
      <c r="AC2276" s="7"/>
      <c r="AD2276" s="7"/>
      <c r="AE2276" s="7"/>
    </row>
    <row r="2277">
      <c r="A2277" s="7"/>
      <c r="B2277" s="21"/>
      <c r="C2277" s="21"/>
      <c r="D2277" s="21"/>
      <c r="E2277" s="21"/>
      <c r="F2277" s="21"/>
      <c r="G2277" s="21"/>
      <c r="H2277" s="21"/>
      <c r="I2277" s="21"/>
      <c r="J2277" s="21"/>
      <c r="K2277" s="21"/>
      <c r="L2277" s="21"/>
      <c r="M2277" s="7"/>
      <c r="N2277" s="7"/>
      <c r="O2277" s="7"/>
      <c r="P2277" s="7"/>
      <c r="Q2277" s="7"/>
      <c r="R2277" s="7"/>
      <c r="S2277" s="7"/>
      <c r="T2277" s="7"/>
      <c r="U2277" s="7"/>
      <c r="V2277" s="7"/>
      <c r="W2277" s="7"/>
      <c r="X2277" s="7"/>
      <c r="Y2277" s="7"/>
      <c r="Z2277" s="7"/>
      <c r="AA2277" s="7"/>
      <c r="AB2277" s="7"/>
      <c r="AC2277" s="7"/>
      <c r="AD2277" s="7"/>
      <c r="AE2277" s="7"/>
    </row>
    <row r="2278">
      <c r="A2278" s="7"/>
      <c r="B2278" s="21"/>
      <c r="C2278" s="21"/>
      <c r="D2278" s="21"/>
      <c r="E2278" s="21"/>
      <c r="F2278" s="21"/>
      <c r="G2278" s="21"/>
      <c r="H2278" s="21"/>
      <c r="I2278" s="21"/>
      <c r="J2278" s="21"/>
      <c r="K2278" s="21"/>
      <c r="L2278" s="21"/>
      <c r="M2278" s="7"/>
      <c r="N2278" s="7"/>
      <c r="O2278" s="7"/>
      <c r="P2278" s="7"/>
      <c r="Q2278" s="7"/>
      <c r="R2278" s="7"/>
      <c r="S2278" s="7"/>
      <c r="T2278" s="7"/>
      <c r="U2278" s="7"/>
      <c r="V2278" s="7"/>
      <c r="W2278" s="7"/>
      <c r="X2278" s="7"/>
      <c r="Y2278" s="7"/>
      <c r="Z2278" s="7"/>
      <c r="AA2278" s="7"/>
      <c r="AB2278" s="7"/>
      <c r="AC2278" s="7"/>
      <c r="AD2278" s="7"/>
      <c r="AE2278" s="7"/>
    </row>
    <row r="2279">
      <c r="A2279" s="7"/>
      <c r="B2279" s="21"/>
      <c r="C2279" s="21"/>
      <c r="D2279" s="21"/>
      <c r="E2279" s="21"/>
      <c r="F2279" s="21"/>
      <c r="G2279" s="21"/>
      <c r="H2279" s="21"/>
      <c r="I2279" s="21"/>
      <c r="J2279" s="21"/>
      <c r="K2279" s="21"/>
      <c r="L2279" s="21"/>
      <c r="M2279" s="7"/>
      <c r="N2279" s="7"/>
      <c r="O2279" s="7"/>
      <c r="P2279" s="7"/>
      <c r="Q2279" s="7"/>
      <c r="R2279" s="7"/>
      <c r="S2279" s="7"/>
      <c r="T2279" s="7"/>
      <c r="U2279" s="7"/>
      <c r="V2279" s="7"/>
      <c r="W2279" s="7"/>
      <c r="X2279" s="7"/>
      <c r="Y2279" s="7"/>
      <c r="Z2279" s="7"/>
      <c r="AA2279" s="7"/>
      <c r="AB2279" s="7"/>
      <c r="AC2279" s="7"/>
      <c r="AD2279" s="7"/>
      <c r="AE2279" s="7"/>
    </row>
    <row r="2280">
      <c r="A2280" s="7"/>
      <c r="B2280" s="21"/>
      <c r="C2280" s="21"/>
      <c r="D2280" s="21"/>
      <c r="E2280" s="21"/>
      <c r="F2280" s="21"/>
      <c r="G2280" s="21"/>
      <c r="H2280" s="21"/>
      <c r="I2280" s="21"/>
      <c r="J2280" s="21"/>
      <c r="K2280" s="21"/>
      <c r="L2280" s="21"/>
      <c r="M2280" s="7"/>
      <c r="N2280" s="7"/>
      <c r="O2280" s="7"/>
      <c r="P2280" s="7"/>
      <c r="Q2280" s="7"/>
      <c r="R2280" s="7"/>
      <c r="S2280" s="7"/>
      <c r="T2280" s="7"/>
      <c r="U2280" s="7"/>
      <c r="V2280" s="7"/>
      <c r="W2280" s="7"/>
      <c r="X2280" s="7"/>
      <c r="Y2280" s="7"/>
      <c r="Z2280" s="7"/>
      <c r="AA2280" s="7"/>
      <c r="AB2280" s="7"/>
      <c r="AC2280" s="7"/>
      <c r="AD2280" s="7"/>
      <c r="AE2280" s="7"/>
    </row>
    <row r="2281">
      <c r="A2281" s="7"/>
      <c r="B2281" s="21"/>
      <c r="C2281" s="21"/>
      <c r="D2281" s="21"/>
      <c r="E2281" s="21"/>
      <c r="F2281" s="21"/>
      <c r="G2281" s="21"/>
      <c r="H2281" s="21"/>
      <c r="I2281" s="21"/>
      <c r="J2281" s="21"/>
      <c r="K2281" s="21"/>
      <c r="L2281" s="21"/>
      <c r="M2281" s="7"/>
      <c r="N2281" s="7"/>
      <c r="O2281" s="7"/>
      <c r="P2281" s="7"/>
      <c r="Q2281" s="7"/>
      <c r="R2281" s="7"/>
      <c r="S2281" s="7"/>
      <c r="T2281" s="7"/>
      <c r="U2281" s="7"/>
      <c r="V2281" s="7"/>
      <c r="W2281" s="7"/>
      <c r="X2281" s="7"/>
      <c r="Y2281" s="7"/>
      <c r="Z2281" s="7"/>
      <c r="AA2281" s="7"/>
      <c r="AB2281" s="7"/>
      <c r="AC2281" s="7"/>
      <c r="AD2281" s="7"/>
      <c r="AE2281" s="7"/>
    </row>
    <row r="2282">
      <c r="A2282" s="7"/>
      <c r="B2282" s="21"/>
      <c r="C2282" s="21"/>
      <c r="D2282" s="21"/>
      <c r="E2282" s="21"/>
      <c r="F2282" s="21"/>
      <c r="G2282" s="21"/>
      <c r="H2282" s="21"/>
      <c r="I2282" s="21"/>
      <c r="J2282" s="21"/>
      <c r="K2282" s="21"/>
      <c r="L2282" s="21"/>
      <c r="M2282" s="7"/>
      <c r="N2282" s="7"/>
      <c r="O2282" s="7"/>
      <c r="P2282" s="7"/>
      <c r="Q2282" s="7"/>
      <c r="R2282" s="7"/>
      <c r="S2282" s="7"/>
      <c r="T2282" s="7"/>
      <c r="U2282" s="7"/>
      <c r="V2282" s="7"/>
      <c r="W2282" s="7"/>
      <c r="X2282" s="7"/>
      <c r="Y2282" s="7"/>
      <c r="Z2282" s="7"/>
      <c r="AA2282" s="7"/>
      <c r="AB2282" s="7"/>
      <c r="AC2282" s="7"/>
      <c r="AD2282" s="7"/>
      <c r="AE2282" s="7"/>
    </row>
    <row r="2283">
      <c r="A2283" s="7"/>
      <c r="B2283" s="21"/>
      <c r="C2283" s="21"/>
      <c r="D2283" s="21"/>
      <c r="E2283" s="21"/>
      <c r="F2283" s="21"/>
      <c r="G2283" s="21"/>
      <c r="H2283" s="21"/>
      <c r="I2283" s="21"/>
      <c r="J2283" s="21"/>
      <c r="K2283" s="21"/>
      <c r="L2283" s="21"/>
      <c r="M2283" s="7"/>
      <c r="N2283" s="7"/>
      <c r="O2283" s="7"/>
      <c r="P2283" s="7"/>
      <c r="Q2283" s="7"/>
      <c r="R2283" s="7"/>
      <c r="S2283" s="7"/>
      <c r="T2283" s="7"/>
      <c r="U2283" s="7"/>
      <c r="V2283" s="7"/>
      <c r="W2283" s="7"/>
      <c r="X2283" s="7"/>
      <c r="Y2283" s="7"/>
      <c r="Z2283" s="7"/>
      <c r="AA2283" s="7"/>
      <c r="AB2283" s="7"/>
      <c r="AC2283" s="7"/>
      <c r="AD2283" s="7"/>
      <c r="AE2283" s="7"/>
    </row>
    <row r="2284">
      <c r="A2284" s="7"/>
      <c r="B2284" s="21"/>
      <c r="C2284" s="21"/>
      <c r="D2284" s="21"/>
      <c r="E2284" s="21"/>
      <c r="F2284" s="21"/>
      <c r="G2284" s="21"/>
      <c r="H2284" s="21"/>
      <c r="I2284" s="21"/>
      <c r="J2284" s="21"/>
      <c r="K2284" s="21"/>
      <c r="L2284" s="21"/>
      <c r="M2284" s="7"/>
      <c r="N2284" s="7"/>
      <c r="O2284" s="7"/>
      <c r="P2284" s="7"/>
      <c r="Q2284" s="7"/>
      <c r="R2284" s="7"/>
      <c r="S2284" s="7"/>
      <c r="T2284" s="7"/>
      <c r="U2284" s="7"/>
      <c r="V2284" s="7"/>
      <c r="W2284" s="7"/>
      <c r="X2284" s="7"/>
      <c r="Y2284" s="7"/>
      <c r="Z2284" s="7"/>
      <c r="AA2284" s="7"/>
      <c r="AB2284" s="7"/>
      <c r="AC2284" s="7"/>
      <c r="AD2284" s="7"/>
      <c r="AE2284" s="7"/>
    </row>
    <row r="2285">
      <c r="A2285" s="7"/>
      <c r="B2285" s="21"/>
      <c r="C2285" s="21"/>
      <c r="D2285" s="21"/>
      <c r="E2285" s="21"/>
      <c r="F2285" s="21"/>
      <c r="G2285" s="21"/>
      <c r="H2285" s="21"/>
      <c r="I2285" s="21"/>
      <c r="J2285" s="21"/>
      <c r="K2285" s="21"/>
      <c r="L2285" s="21"/>
      <c r="M2285" s="7"/>
      <c r="N2285" s="7"/>
      <c r="O2285" s="7"/>
      <c r="P2285" s="7"/>
      <c r="Q2285" s="7"/>
      <c r="R2285" s="7"/>
      <c r="S2285" s="7"/>
      <c r="T2285" s="7"/>
      <c r="U2285" s="7"/>
      <c r="V2285" s="7"/>
      <c r="W2285" s="7"/>
      <c r="X2285" s="7"/>
      <c r="Y2285" s="7"/>
      <c r="Z2285" s="7"/>
      <c r="AA2285" s="7"/>
      <c r="AB2285" s="7"/>
      <c r="AC2285" s="7"/>
      <c r="AD2285" s="7"/>
      <c r="AE2285" s="7"/>
    </row>
    <row r="2286">
      <c r="A2286" s="7"/>
      <c r="B2286" s="21"/>
      <c r="C2286" s="21"/>
      <c r="D2286" s="21"/>
      <c r="E2286" s="21"/>
      <c r="F2286" s="21"/>
      <c r="G2286" s="21"/>
      <c r="H2286" s="21"/>
      <c r="I2286" s="21"/>
      <c r="J2286" s="21"/>
      <c r="K2286" s="21"/>
      <c r="L2286" s="21"/>
      <c r="M2286" s="7"/>
      <c r="N2286" s="7"/>
      <c r="O2286" s="7"/>
      <c r="P2286" s="7"/>
      <c r="Q2286" s="7"/>
      <c r="R2286" s="7"/>
      <c r="S2286" s="7"/>
      <c r="T2286" s="7"/>
      <c r="U2286" s="7"/>
      <c r="V2286" s="7"/>
      <c r="W2286" s="7"/>
      <c r="X2286" s="7"/>
      <c r="Y2286" s="7"/>
      <c r="Z2286" s="7"/>
      <c r="AA2286" s="7"/>
      <c r="AB2286" s="7"/>
      <c r="AC2286" s="7"/>
      <c r="AD2286" s="7"/>
      <c r="AE2286" s="7"/>
    </row>
    <row r="2287">
      <c r="A2287" s="7"/>
      <c r="B2287" s="21"/>
      <c r="C2287" s="21"/>
      <c r="D2287" s="21"/>
      <c r="E2287" s="21"/>
      <c r="F2287" s="21"/>
      <c r="G2287" s="21"/>
      <c r="H2287" s="21"/>
      <c r="I2287" s="21"/>
      <c r="J2287" s="21"/>
      <c r="K2287" s="21"/>
      <c r="L2287" s="21"/>
      <c r="M2287" s="7"/>
      <c r="N2287" s="7"/>
      <c r="O2287" s="7"/>
      <c r="P2287" s="7"/>
      <c r="Q2287" s="7"/>
      <c r="R2287" s="7"/>
      <c r="S2287" s="7"/>
      <c r="T2287" s="7"/>
      <c r="U2287" s="7"/>
      <c r="V2287" s="7"/>
      <c r="W2287" s="7"/>
      <c r="X2287" s="7"/>
      <c r="Y2287" s="7"/>
      <c r="Z2287" s="7"/>
      <c r="AA2287" s="7"/>
      <c r="AB2287" s="7"/>
      <c r="AC2287" s="7"/>
      <c r="AD2287" s="7"/>
      <c r="AE2287" s="7"/>
    </row>
    <row r="2288">
      <c r="A2288" s="7"/>
      <c r="B2288" s="21"/>
      <c r="C2288" s="21"/>
      <c r="D2288" s="21"/>
      <c r="E2288" s="21"/>
      <c r="F2288" s="21"/>
      <c r="G2288" s="21"/>
      <c r="H2288" s="21"/>
      <c r="I2288" s="21"/>
      <c r="J2288" s="21"/>
      <c r="K2288" s="21"/>
      <c r="L2288" s="21"/>
      <c r="M2288" s="7"/>
      <c r="N2288" s="7"/>
      <c r="O2288" s="7"/>
      <c r="P2288" s="7"/>
      <c r="Q2288" s="7"/>
      <c r="R2288" s="7"/>
      <c r="S2288" s="7"/>
      <c r="T2288" s="7"/>
      <c r="U2288" s="7"/>
      <c r="V2288" s="7"/>
      <c r="W2288" s="7"/>
      <c r="X2288" s="7"/>
      <c r="Y2288" s="7"/>
      <c r="Z2288" s="7"/>
      <c r="AA2288" s="7"/>
      <c r="AB2288" s="7"/>
      <c r="AC2288" s="7"/>
      <c r="AD2288" s="7"/>
      <c r="AE2288" s="7"/>
    </row>
    <row r="2289">
      <c r="A2289" s="7"/>
      <c r="B2289" s="21"/>
      <c r="C2289" s="21"/>
      <c r="D2289" s="21"/>
      <c r="E2289" s="21"/>
      <c r="F2289" s="21"/>
      <c r="G2289" s="21"/>
      <c r="H2289" s="21"/>
      <c r="I2289" s="21"/>
      <c r="J2289" s="21"/>
      <c r="K2289" s="21"/>
      <c r="L2289" s="21"/>
      <c r="M2289" s="7"/>
      <c r="N2289" s="7"/>
      <c r="O2289" s="7"/>
      <c r="P2289" s="7"/>
      <c r="Q2289" s="7"/>
      <c r="R2289" s="7"/>
      <c r="S2289" s="7"/>
      <c r="T2289" s="7"/>
      <c r="U2289" s="7"/>
      <c r="V2289" s="7"/>
      <c r="W2289" s="7"/>
      <c r="X2289" s="7"/>
      <c r="Y2289" s="7"/>
      <c r="Z2289" s="7"/>
      <c r="AA2289" s="7"/>
      <c r="AB2289" s="7"/>
      <c r="AC2289" s="7"/>
      <c r="AD2289" s="7"/>
      <c r="AE2289" s="7"/>
    </row>
    <row r="2290">
      <c r="A2290" s="7"/>
      <c r="B2290" s="21"/>
      <c r="C2290" s="21"/>
      <c r="D2290" s="21"/>
      <c r="E2290" s="21"/>
      <c r="F2290" s="21"/>
      <c r="G2290" s="21"/>
      <c r="H2290" s="21"/>
      <c r="I2290" s="21"/>
      <c r="J2290" s="21"/>
      <c r="K2290" s="21"/>
      <c r="L2290" s="21"/>
      <c r="M2290" s="7"/>
      <c r="N2290" s="7"/>
      <c r="O2290" s="7"/>
      <c r="P2290" s="7"/>
      <c r="Q2290" s="7"/>
      <c r="R2290" s="7"/>
      <c r="S2290" s="7"/>
      <c r="T2290" s="7"/>
      <c r="U2290" s="7"/>
      <c r="V2290" s="7"/>
      <c r="W2290" s="7"/>
      <c r="X2290" s="7"/>
      <c r="Y2290" s="7"/>
      <c r="Z2290" s="7"/>
      <c r="AA2290" s="7"/>
      <c r="AB2290" s="7"/>
      <c r="AC2290" s="7"/>
      <c r="AD2290" s="7"/>
      <c r="AE2290" s="7"/>
    </row>
    <row r="2291">
      <c r="A2291" s="7"/>
      <c r="B2291" s="21"/>
      <c r="C2291" s="21"/>
      <c r="D2291" s="21"/>
      <c r="E2291" s="21"/>
      <c r="F2291" s="21"/>
      <c r="G2291" s="21"/>
      <c r="H2291" s="21"/>
      <c r="I2291" s="21"/>
      <c r="J2291" s="21"/>
      <c r="K2291" s="21"/>
      <c r="L2291" s="21"/>
      <c r="M2291" s="7"/>
      <c r="N2291" s="7"/>
      <c r="O2291" s="7"/>
      <c r="P2291" s="7"/>
      <c r="Q2291" s="7"/>
      <c r="R2291" s="7"/>
      <c r="S2291" s="7"/>
      <c r="T2291" s="7"/>
      <c r="U2291" s="7"/>
      <c r="V2291" s="7"/>
      <c r="W2291" s="7"/>
      <c r="X2291" s="7"/>
      <c r="Y2291" s="7"/>
      <c r="Z2291" s="7"/>
      <c r="AA2291" s="7"/>
      <c r="AB2291" s="7"/>
      <c r="AC2291" s="7"/>
      <c r="AD2291" s="7"/>
      <c r="AE2291" s="7"/>
    </row>
    <row r="2292">
      <c r="A2292" s="7"/>
      <c r="B2292" s="21"/>
      <c r="C2292" s="21"/>
      <c r="D2292" s="21"/>
      <c r="E2292" s="21"/>
      <c r="F2292" s="21"/>
      <c r="G2292" s="21"/>
      <c r="H2292" s="21"/>
      <c r="I2292" s="21"/>
      <c r="J2292" s="21"/>
      <c r="K2292" s="21"/>
      <c r="L2292" s="21"/>
      <c r="M2292" s="7"/>
      <c r="N2292" s="7"/>
      <c r="O2292" s="7"/>
      <c r="P2292" s="7"/>
      <c r="Q2292" s="7"/>
      <c r="R2292" s="7"/>
      <c r="S2292" s="7"/>
      <c r="T2292" s="7"/>
      <c r="U2292" s="7"/>
      <c r="V2292" s="7"/>
      <c r="W2292" s="7"/>
      <c r="X2292" s="7"/>
      <c r="Y2292" s="7"/>
      <c r="Z2292" s="7"/>
      <c r="AA2292" s="7"/>
      <c r="AB2292" s="7"/>
      <c r="AC2292" s="7"/>
      <c r="AD2292" s="7"/>
      <c r="AE2292" s="7"/>
    </row>
    <row r="2293">
      <c r="A2293" s="7"/>
      <c r="B2293" s="21"/>
      <c r="C2293" s="21"/>
      <c r="D2293" s="21"/>
      <c r="E2293" s="21"/>
      <c r="F2293" s="21"/>
      <c r="G2293" s="21"/>
      <c r="H2293" s="21"/>
      <c r="I2293" s="21"/>
      <c r="J2293" s="21"/>
      <c r="K2293" s="21"/>
      <c r="L2293" s="21"/>
      <c r="M2293" s="7"/>
      <c r="N2293" s="7"/>
      <c r="O2293" s="7"/>
      <c r="P2293" s="7"/>
      <c r="Q2293" s="7"/>
      <c r="R2293" s="7"/>
      <c r="S2293" s="7"/>
      <c r="T2293" s="7"/>
      <c r="U2293" s="7"/>
      <c r="V2293" s="7"/>
      <c r="W2293" s="7"/>
      <c r="X2293" s="7"/>
      <c r="Y2293" s="7"/>
      <c r="Z2293" s="7"/>
      <c r="AA2293" s="7"/>
      <c r="AB2293" s="7"/>
      <c r="AC2293" s="7"/>
      <c r="AD2293" s="7"/>
      <c r="AE2293" s="7"/>
    </row>
    <row r="2294">
      <c r="A2294" s="7"/>
      <c r="B2294" s="21"/>
      <c r="C2294" s="21"/>
      <c r="D2294" s="21"/>
      <c r="E2294" s="21"/>
      <c r="F2294" s="21"/>
      <c r="G2294" s="21"/>
      <c r="H2294" s="21"/>
      <c r="I2294" s="21"/>
      <c r="J2294" s="21"/>
      <c r="K2294" s="21"/>
      <c r="L2294" s="21"/>
      <c r="M2294" s="7"/>
      <c r="N2294" s="7"/>
      <c r="O2294" s="7"/>
      <c r="P2294" s="7"/>
      <c r="Q2294" s="7"/>
      <c r="R2294" s="7"/>
      <c r="S2294" s="7"/>
      <c r="T2294" s="7"/>
      <c r="U2294" s="7"/>
      <c r="V2294" s="7"/>
      <c r="W2294" s="7"/>
      <c r="X2294" s="7"/>
      <c r="Y2294" s="7"/>
      <c r="Z2294" s="7"/>
      <c r="AA2294" s="7"/>
      <c r="AB2294" s="7"/>
      <c r="AC2294" s="7"/>
      <c r="AD2294" s="7"/>
      <c r="AE2294" s="7"/>
    </row>
    <row r="2295">
      <c r="A2295" s="7"/>
      <c r="B2295" s="21"/>
      <c r="C2295" s="21"/>
      <c r="D2295" s="21"/>
      <c r="E2295" s="21"/>
      <c r="F2295" s="21"/>
      <c r="G2295" s="21"/>
      <c r="H2295" s="21"/>
      <c r="I2295" s="21"/>
      <c r="J2295" s="21"/>
      <c r="K2295" s="21"/>
      <c r="L2295" s="21"/>
      <c r="M2295" s="7"/>
      <c r="N2295" s="7"/>
      <c r="O2295" s="7"/>
      <c r="P2295" s="7"/>
      <c r="Q2295" s="7"/>
      <c r="R2295" s="7"/>
      <c r="S2295" s="7"/>
      <c r="T2295" s="7"/>
      <c r="U2295" s="7"/>
      <c r="V2295" s="7"/>
      <c r="W2295" s="7"/>
      <c r="X2295" s="7"/>
      <c r="Y2295" s="7"/>
      <c r="Z2295" s="7"/>
      <c r="AA2295" s="7"/>
      <c r="AB2295" s="7"/>
      <c r="AC2295" s="7"/>
      <c r="AD2295" s="7"/>
      <c r="AE2295" s="7"/>
    </row>
    <row r="2296">
      <c r="A2296" s="7"/>
      <c r="B2296" s="21"/>
      <c r="C2296" s="21"/>
      <c r="D2296" s="21"/>
      <c r="E2296" s="21"/>
      <c r="F2296" s="21"/>
      <c r="G2296" s="21"/>
      <c r="H2296" s="21"/>
      <c r="I2296" s="21"/>
      <c r="J2296" s="21"/>
      <c r="K2296" s="21"/>
      <c r="L2296" s="21"/>
      <c r="M2296" s="7"/>
      <c r="N2296" s="7"/>
      <c r="O2296" s="7"/>
      <c r="P2296" s="7"/>
      <c r="Q2296" s="7"/>
      <c r="R2296" s="7"/>
      <c r="S2296" s="7"/>
      <c r="T2296" s="7"/>
      <c r="U2296" s="7"/>
      <c r="V2296" s="7"/>
      <c r="W2296" s="7"/>
      <c r="X2296" s="7"/>
      <c r="Y2296" s="7"/>
      <c r="Z2296" s="7"/>
      <c r="AA2296" s="7"/>
      <c r="AB2296" s="7"/>
      <c r="AC2296" s="7"/>
      <c r="AD2296" s="7"/>
      <c r="AE2296" s="7"/>
    </row>
    <row r="2297">
      <c r="A2297" s="7"/>
      <c r="B2297" s="21"/>
      <c r="C2297" s="21"/>
      <c r="D2297" s="21"/>
      <c r="E2297" s="21"/>
      <c r="F2297" s="21"/>
      <c r="G2297" s="21"/>
      <c r="H2297" s="21"/>
      <c r="I2297" s="21"/>
      <c r="J2297" s="21"/>
      <c r="K2297" s="21"/>
      <c r="L2297" s="21"/>
      <c r="M2297" s="7"/>
      <c r="N2297" s="7"/>
      <c r="O2297" s="7"/>
      <c r="P2297" s="7"/>
      <c r="Q2297" s="7"/>
      <c r="R2297" s="7"/>
      <c r="S2297" s="7"/>
      <c r="T2297" s="7"/>
      <c r="U2297" s="7"/>
      <c r="V2297" s="7"/>
      <c r="W2297" s="7"/>
      <c r="X2297" s="7"/>
      <c r="Y2297" s="7"/>
      <c r="Z2297" s="7"/>
      <c r="AA2297" s="7"/>
      <c r="AB2297" s="7"/>
      <c r="AC2297" s="7"/>
      <c r="AD2297" s="7"/>
      <c r="AE2297" s="7"/>
    </row>
    <row r="2298">
      <c r="A2298" s="7"/>
      <c r="B2298" s="21"/>
      <c r="C2298" s="21"/>
      <c r="D2298" s="21"/>
      <c r="E2298" s="21"/>
      <c r="F2298" s="21"/>
      <c r="G2298" s="21"/>
      <c r="H2298" s="21"/>
      <c r="I2298" s="21"/>
      <c r="J2298" s="21"/>
      <c r="K2298" s="21"/>
      <c r="L2298" s="21"/>
      <c r="M2298" s="7"/>
      <c r="N2298" s="7"/>
      <c r="O2298" s="7"/>
      <c r="P2298" s="7"/>
      <c r="Q2298" s="7"/>
      <c r="R2298" s="7"/>
      <c r="S2298" s="7"/>
      <c r="T2298" s="7"/>
      <c r="U2298" s="7"/>
      <c r="V2298" s="7"/>
      <c r="W2298" s="7"/>
      <c r="X2298" s="7"/>
      <c r="Y2298" s="7"/>
      <c r="Z2298" s="7"/>
      <c r="AA2298" s="7"/>
      <c r="AB2298" s="7"/>
      <c r="AC2298" s="7"/>
      <c r="AD2298" s="7"/>
      <c r="AE2298" s="7"/>
    </row>
    <row r="2299">
      <c r="A2299" s="7"/>
      <c r="B2299" s="21"/>
      <c r="C2299" s="21"/>
      <c r="D2299" s="21"/>
      <c r="E2299" s="21"/>
      <c r="F2299" s="21"/>
      <c r="G2299" s="21"/>
      <c r="H2299" s="21"/>
      <c r="I2299" s="21"/>
      <c r="J2299" s="21"/>
      <c r="K2299" s="21"/>
      <c r="L2299" s="21"/>
      <c r="M2299" s="7"/>
      <c r="N2299" s="7"/>
      <c r="O2299" s="7"/>
      <c r="P2299" s="7"/>
      <c r="Q2299" s="7"/>
      <c r="R2299" s="7"/>
      <c r="S2299" s="7"/>
      <c r="T2299" s="7"/>
      <c r="U2299" s="7"/>
      <c r="V2299" s="7"/>
      <c r="W2299" s="7"/>
      <c r="X2299" s="7"/>
      <c r="Y2299" s="7"/>
      <c r="Z2299" s="7"/>
      <c r="AA2299" s="7"/>
      <c r="AB2299" s="7"/>
      <c r="AC2299" s="7"/>
      <c r="AD2299" s="7"/>
      <c r="AE2299" s="7"/>
    </row>
    <row r="2300">
      <c r="A2300" s="7"/>
      <c r="B2300" s="21"/>
      <c r="C2300" s="21"/>
      <c r="D2300" s="21"/>
      <c r="E2300" s="21"/>
      <c r="F2300" s="21"/>
      <c r="G2300" s="21"/>
      <c r="H2300" s="21"/>
      <c r="I2300" s="21"/>
      <c r="J2300" s="21"/>
      <c r="K2300" s="21"/>
      <c r="L2300" s="21"/>
      <c r="M2300" s="7"/>
      <c r="N2300" s="7"/>
      <c r="O2300" s="7"/>
      <c r="P2300" s="7"/>
      <c r="Q2300" s="7"/>
      <c r="R2300" s="7"/>
      <c r="S2300" s="7"/>
      <c r="T2300" s="7"/>
      <c r="U2300" s="7"/>
      <c r="V2300" s="7"/>
      <c r="W2300" s="7"/>
      <c r="X2300" s="7"/>
      <c r="Y2300" s="7"/>
      <c r="Z2300" s="7"/>
      <c r="AA2300" s="7"/>
      <c r="AB2300" s="7"/>
      <c r="AC2300" s="7"/>
      <c r="AD2300" s="7"/>
      <c r="AE2300" s="7"/>
    </row>
    <row r="2301">
      <c r="A2301" s="7"/>
      <c r="B2301" s="21"/>
      <c r="C2301" s="21"/>
      <c r="D2301" s="21"/>
      <c r="E2301" s="21"/>
      <c r="F2301" s="21"/>
      <c r="G2301" s="21"/>
      <c r="H2301" s="21"/>
      <c r="I2301" s="21"/>
      <c r="J2301" s="21"/>
      <c r="K2301" s="21"/>
      <c r="L2301" s="21"/>
      <c r="M2301" s="7"/>
      <c r="N2301" s="7"/>
      <c r="O2301" s="7"/>
      <c r="P2301" s="7"/>
      <c r="Q2301" s="7"/>
      <c r="R2301" s="7"/>
      <c r="S2301" s="7"/>
      <c r="T2301" s="7"/>
      <c r="U2301" s="7"/>
      <c r="V2301" s="7"/>
      <c r="W2301" s="7"/>
      <c r="X2301" s="7"/>
      <c r="Y2301" s="7"/>
      <c r="Z2301" s="7"/>
      <c r="AA2301" s="7"/>
      <c r="AB2301" s="7"/>
      <c r="AC2301" s="7"/>
      <c r="AD2301" s="7"/>
      <c r="AE2301" s="7"/>
    </row>
    <row r="2302">
      <c r="A2302" s="7"/>
      <c r="B2302" s="21"/>
      <c r="C2302" s="21"/>
      <c r="D2302" s="21"/>
      <c r="E2302" s="21"/>
      <c r="F2302" s="21"/>
      <c r="G2302" s="21"/>
      <c r="H2302" s="21"/>
      <c r="I2302" s="21"/>
      <c r="J2302" s="21"/>
      <c r="K2302" s="21"/>
      <c r="L2302" s="21"/>
      <c r="M2302" s="7"/>
      <c r="N2302" s="7"/>
      <c r="O2302" s="7"/>
      <c r="P2302" s="7"/>
      <c r="Q2302" s="7"/>
      <c r="R2302" s="7"/>
      <c r="S2302" s="7"/>
      <c r="T2302" s="7"/>
      <c r="U2302" s="7"/>
      <c r="V2302" s="7"/>
      <c r="W2302" s="7"/>
      <c r="X2302" s="7"/>
      <c r="Y2302" s="7"/>
      <c r="Z2302" s="7"/>
      <c r="AA2302" s="7"/>
      <c r="AB2302" s="7"/>
      <c r="AC2302" s="7"/>
      <c r="AD2302" s="7"/>
      <c r="AE2302" s="7"/>
    </row>
    <row r="2303">
      <c r="A2303" s="7"/>
      <c r="B2303" s="21"/>
      <c r="C2303" s="21"/>
      <c r="D2303" s="21"/>
      <c r="E2303" s="21"/>
      <c r="F2303" s="21"/>
      <c r="G2303" s="21"/>
      <c r="H2303" s="21"/>
      <c r="I2303" s="21"/>
      <c r="J2303" s="21"/>
      <c r="K2303" s="21"/>
      <c r="L2303" s="21"/>
      <c r="M2303" s="7"/>
      <c r="N2303" s="7"/>
      <c r="O2303" s="7"/>
      <c r="P2303" s="7"/>
      <c r="Q2303" s="7"/>
      <c r="R2303" s="7"/>
      <c r="S2303" s="7"/>
      <c r="T2303" s="7"/>
      <c r="U2303" s="7"/>
      <c r="V2303" s="7"/>
      <c r="W2303" s="7"/>
      <c r="X2303" s="7"/>
      <c r="Y2303" s="7"/>
      <c r="Z2303" s="7"/>
      <c r="AA2303" s="7"/>
      <c r="AB2303" s="7"/>
      <c r="AC2303" s="7"/>
      <c r="AD2303" s="7"/>
      <c r="AE2303" s="7"/>
    </row>
    <row r="2304">
      <c r="A2304" s="7"/>
      <c r="B2304" s="21"/>
      <c r="C2304" s="21"/>
      <c r="D2304" s="21"/>
      <c r="E2304" s="21"/>
      <c r="F2304" s="21"/>
      <c r="G2304" s="21"/>
      <c r="H2304" s="21"/>
      <c r="I2304" s="21"/>
      <c r="J2304" s="21"/>
      <c r="K2304" s="21"/>
      <c r="L2304" s="21"/>
      <c r="M2304" s="7"/>
      <c r="N2304" s="7"/>
      <c r="O2304" s="7"/>
      <c r="P2304" s="7"/>
      <c r="Q2304" s="7"/>
      <c r="R2304" s="7"/>
      <c r="S2304" s="7"/>
      <c r="T2304" s="7"/>
      <c r="U2304" s="7"/>
      <c r="V2304" s="7"/>
      <c r="W2304" s="7"/>
      <c r="X2304" s="7"/>
      <c r="Y2304" s="7"/>
      <c r="Z2304" s="7"/>
      <c r="AA2304" s="7"/>
      <c r="AB2304" s="7"/>
      <c r="AC2304" s="7"/>
      <c r="AD2304" s="7"/>
      <c r="AE2304" s="7"/>
    </row>
    <row r="2305">
      <c r="A2305" s="7"/>
      <c r="B2305" s="21"/>
      <c r="C2305" s="21"/>
      <c r="D2305" s="21"/>
      <c r="E2305" s="21"/>
      <c r="F2305" s="21"/>
      <c r="G2305" s="21"/>
      <c r="H2305" s="21"/>
      <c r="I2305" s="21"/>
      <c r="J2305" s="21"/>
      <c r="K2305" s="21"/>
      <c r="L2305" s="21"/>
      <c r="M2305" s="7"/>
      <c r="N2305" s="7"/>
      <c r="O2305" s="7"/>
      <c r="P2305" s="7"/>
      <c r="Q2305" s="7"/>
      <c r="R2305" s="7"/>
      <c r="S2305" s="7"/>
      <c r="T2305" s="7"/>
      <c r="U2305" s="7"/>
      <c r="V2305" s="7"/>
      <c r="W2305" s="7"/>
      <c r="X2305" s="7"/>
      <c r="Y2305" s="7"/>
      <c r="Z2305" s="7"/>
      <c r="AA2305" s="7"/>
      <c r="AB2305" s="7"/>
      <c r="AC2305" s="7"/>
      <c r="AD2305" s="7"/>
      <c r="AE2305" s="7"/>
    </row>
    <row r="2306">
      <c r="A2306" s="7"/>
      <c r="B2306" s="21"/>
      <c r="C2306" s="21"/>
      <c r="D2306" s="21"/>
      <c r="E2306" s="21"/>
      <c r="F2306" s="21"/>
      <c r="G2306" s="21"/>
      <c r="H2306" s="21"/>
      <c r="I2306" s="21"/>
      <c r="J2306" s="21"/>
      <c r="K2306" s="21"/>
      <c r="L2306" s="21"/>
      <c r="M2306" s="7"/>
      <c r="N2306" s="7"/>
      <c r="O2306" s="7"/>
      <c r="P2306" s="7"/>
      <c r="Q2306" s="7"/>
      <c r="R2306" s="7"/>
      <c r="S2306" s="7"/>
      <c r="T2306" s="7"/>
      <c r="U2306" s="7"/>
      <c r="V2306" s="7"/>
      <c r="W2306" s="7"/>
      <c r="X2306" s="7"/>
      <c r="Y2306" s="7"/>
      <c r="Z2306" s="7"/>
      <c r="AA2306" s="7"/>
      <c r="AB2306" s="7"/>
      <c r="AC2306" s="7"/>
      <c r="AD2306" s="7"/>
      <c r="AE2306" s="7"/>
    </row>
    <row r="2307">
      <c r="A2307" s="7"/>
      <c r="B2307" s="21"/>
      <c r="C2307" s="21"/>
      <c r="D2307" s="21"/>
      <c r="E2307" s="21"/>
      <c r="F2307" s="21"/>
      <c r="G2307" s="21"/>
      <c r="H2307" s="21"/>
      <c r="I2307" s="21"/>
      <c r="J2307" s="21"/>
      <c r="K2307" s="21"/>
      <c r="L2307" s="21"/>
      <c r="M2307" s="7"/>
      <c r="N2307" s="7"/>
      <c r="O2307" s="7"/>
      <c r="P2307" s="7"/>
      <c r="Q2307" s="7"/>
      <c r="R2307" s="7"/>
      <c r="S2307" s="7"/>
      <c r="T2307" s="7"/>
      <c r="U2307" s="7"/>
      <c r="V2307" s="7"/>
      <c r="W2307" s="7"/>
      <c r="X2307" s="7"/>
      <c r="Y2307" s="7"/>
      <c r="Z2307" s="7"/>
      <c r="AA2307" s="7"/>
      <c r="AB2307" s="7"/>
      <c r="AC2307" s="7"/>
      <c r="AD2307" s="7"/>
      <c r="AE2307" s="7"/>
    </row>
    <row r="2308">
      <c r="A2308" s="7"/>
      <c r="B2308" s="21"/>
      <c r="C2308" s="21"/>
      <c r="D2308" s="21"/>
      <c r="E2308" s="21"/>
      <c r="F2308" s="21"/>
      <c r="G2308" s="21"/>
      <c r="H2308" s="21"/>
      <c r="I2308" s="21"/>
      <c r="J2308" s="21"/>
      <c r="K2308" s="21"/>
      <c r="L2308" s="21"/>
      <c r="M2308" s="7"/>
      <c r="N2308" s="7"/>
      <c r="O2308" s="7"/>
      <c r="P2308" s="7"/>
      <c r="Q2308" s="7"/>
      <c r="R2308" s="7"/>
      <c r="S2308" s="7"/>
      <c r="T2308" s="7"/>
      <c r="U2308" s="7"/>
      <c r="V2308" s="7"/>
      <c r="W2308" s="7"/>
      <c r="X2308" s="7"/>
      <c r="Y2308" s="7"/>
      <c r="Z2308" s="7"/>
      <c r="AA2308" s="7"/>
      <c r="AB2308" s="7"/>
      <c r="AC2308" s="7"/>
      <c r="AD2308" s="7"/>
      <c r="AE2308" s="7"/>
    </row>
    <row r="2309">
      <c r="A2309" s="7"/>
      <c r="B2309" s="21"/>
      <c r="C2309" s="21"/>
      <c r="D2309" s="21"/>
      <c r="E2309" s="21"/>
      <c r="F2309" s="21"/>
      <c r="G2309" s="21"/>
      <c r="H2309" s="21"/>
      <c r="I2309" s="21"/>
      <c r="J2309" s="21"/>
      <c r="K2309" s="21"/>
      <c r="L2309" s="21"/>
      <c r="M2309" s="7"/>
      <c r="N2309" s="7"/>
      <c r="O2309" s="7"/>
      <c r="P2309" s="7"/>
      <c r="Q2309" s="7"/>
      <c r="R2309" s="7"/>
      <c r="S2309" s="7"/>
      <c r="T2309" s="7"/>
      <c r="U2309" s="7"/>
      <c r="V2309" s="7"/>
      <c r="W2309" s="7"/>
      <c r="X2309" s="7"/>
      <c r="Y2309" s="7"/>
      <c r="Z2309" s="7"/>
      <c r="AA2309" s="7"/>
      <c r="AB2309" s="7"/>
      <c r="AC2309" s="7"/>
      <c r="AD2309" s="7"/>
      <c r="AE2309" s="7"/>
    </row>
    <row r="2310">
      <c r="A2310" s="7"/>
      <c r="B2310" s="21"/>
      <c r="C2310" s="21"/>
      <c r="D2310" s="21"/>
      <c r="E2310" s="21"/>
      <c r="F2310" s="21"/>
      <c r="G2310" s="21"/>
      <c r="H2310" s="21"/>
      <c r="I2310" s="21"/>
      <c r="J2310" s="21"/>
      <c r="K2310" s="21"/>
      <c r="L2310" s="21"/>
      <c r="M2310" s="7"/>
      <c r="N2310" s="7"/>
      <c r="O2310" s="7"/>
      <c r="P2310" s="7"/>
      <c r="Q2310" s="7"/>
      <c r="R2310" s="7"/>
      <c r="S2310" s="7"/>
      <c r="T2310" s="7"/>
      <c r="U2310" s="7"/>
      <c r="V2310" s="7"/>
      <c r="W2310" s="7"/>
      <c r="X2310" s="7"/>
      <c r="Y2310" s="7"/>
      <c r="Z2310" s="7"/>
      <c r="AA2310" s="7"/>
      <c r="AB2310" s="7"/>
      <c r="AC2310" s="7"/>
      <c r="AD2310" s="7"/>
      <c r="AE2310" s="7"/>
    </row>
    <row r="2311">
      <c r="A2311" s="7"/>
      <c r="B2311" s="21"/>
      <c r="C2311" s="21"/>
      <c r="D2311" s="21"/>
      <c r="E2311" s="21"/>
      <c r="F2311" s="21"/>
      <c r="G2311" s="21"/>
      <c r="H2311" s="21"/>
      <c r="I2311" s="21"/>
      <c r="J2311" s="21"/>
      <c r="K2311" s="21"/>
      <c r="L2311" s="21"/>
      <c r="M2311" s="7"/>
      <c r="N2311" s="7"/>
      <c r="O2311" s="7"/>
      <c r="P2311" s="7"/>
      <c r="Q2311" s="7"/>
      <c r="R2311" s="7"/>
      <c r="S2311" s="7"/>
      <c r="T2311" s="7"/>
      <c r="U2311" s="7"/>
      <c r="V2311" s="7"/>
      <c r="W2311" s="7"/>
      <c r="X2311" s="7"/>
      <c r="Y2311" s="7"/>
      <c r="Z2311" s="7"/>
      <c r="AA2311" s="7"/>
      <c r="AB2311" s="7"/>
      <c r="AC2311" s="7"/>
      <c r="AD2311" s="7"/>
      <c r="AE2311" s="7"/>
    </row>
    <row r="2312">
      <c r="A2312" s="7"/>
      <c r="B2312" s="21"/>
      <c r="C2312" s="21"/>
      <c r="D2312" s="21"/>
      <c r="E2312" s="21"/>
      <c r="F2312" s="21"/>
      <c r="G2312" s="21"/>
      <c r="H2312" s="21"/>
      <c r="I2312" s="21"/>
      <c r="J2312" s="21"/>
      <c r="K2312" s="21"/>
      <c r="L2312" s="21"/>
      <c r="M2312" s="7"/>
      <c r="N2312" s="7"/>
      <c r="O2312" s="7"/>
      <c r="P2312" s="7"/>
      <c r="Q2312" s="7"/>
      <c r="R2312" s="7"/>
      <c r="S2312" s="7"/>
      <c r="T2312" s="7"/>
      <c r="U2312" s="7"/>
      <c r="V2312" s="7"/>
      <c r="W2312" s="7"/>
      <c r="X2312" s="7"/>
      <c r="Y2312" s="7"/>
      <c r="Z2312" s="7"/>
      <c r="AA2312" s="7"/>
      <c r="AB2312" s="7"/>
      <c r="AC2312" s="7"/>
      <c r="AD2312" s="7"/>
      <c r="AE2312" s="7"/>
    </row>
    <row r="2313">
      <c r="A2313" s="7"/>
      <c r="B2313" s="21"/>
      <c r="C2313" s="21"/>
      <c r="D2313" s="21"/>
      <c r="E2313" s="21"/>
      <c r="F2313" s="21"/>
      <c r="G2313" s="21"/>
      <c r="H2313" s="21"/>
      <c r="I2313" s="21"/>
      <c r="J2313" s="21"/>
      <c r="K2313" s="21"/>
      <c r="L2313" s="21"/>
      <c r="M2313" s="7"/>
      <c r="N2313" s="7"/>
      <c r="O2313" s="7"/>
      <c r="P2313" s="7"/>
      <c r="Q2313" s="7"/>
      <c r="R2313" s="7"/>
      <c r="S2313" s="7"/>
      <c r="T2313" s="7"/>
      <c r="U2313" s="7"/>
      <c r="V2313" s="7"/>
      <c r="W2313" s="7"/>
      <c r="X2313" s="7"/>
      <c r="Y2313" s="7"/>
      <c r="Z2313" s="7"/>
      <c r="AA2313" s="7"/>
      <c r="AB2313" s="7"/>
      <c r="AC2313" s="7"/>
      <c r="AD2313" s="7"/>
      <c r="AE2313" s="7"/>
    </row>
    <row r="2314">
      <c r="A2314" s="7"/>
      <c r="B2314" s="21"/>
      <c r="C2314" s="21"/>
      <c r="D2314" s="21"/>
      <c r="E2314" s="21"/>
      <c r="F2314" s="21"/>
      <c r="G2314" s="21"/>
      <c r="H2314" s="21"/>
      <c r="I2314" s="21"/>
      <c r="J2314" s="21"/>
      <c r="K2314" s="21"/>
      <c r="L2314" s="21"/>
      <c r="M2314" s="7"/>
      <c r="N2314" s="7"/>
      <c r="O2314" s="7"/>
      <c r="P2314" s="7"/>
      <c r="Q2314" s="7"/>
      <c r="R2314" s="7"/>
      <c r="S2314" s="7"/>
      <c r="T2314" s="7"/>
      <c r="U2314" s="7"/>
      <c r="V2314" s="7"/>
      <c r="W2314" s="7"/>
      <c r="X2314" s="7"/>
      <c r="Y2314" s="7"/>
      <c r="Z2314" s="7"/>
      <c r="AA2314" s="7"/>
      <c r="AB2314" s="7"/>
      <c r="AC2314" s="7"/>
      <c r="AD2314" s="7"/>
      <c r="AE2314" s="7"/>
    </row>
    <row r="2315">
      <c r="A2315" s="7"/>
      <c r="B2315" s="21"/>
      <c r="C2315" s="21"/>
      <c r="D2315" s="21"/>
      <c r="E2315" s="21"/>
      <c r="F2315" s="21"/>
      <c r="G2315" s="21"/>
      <c r="H2315" s="21"/>
      <c r="I2315" s="21"/>
      <c r="J2315" s="21"/>
      <c r="K2315" s="21"/>
      <c r="L2315" s="21"/>
      <c r="M2315" s="7"/>
      <c r="N2315" s="7"/>
      <c r="O2315" s="7"/>
      <c r="P2315" s="7"/>
      <c r="Q2315" s="7"/>
      <c r="R2315" s="7"/>
      <c r="S2315" s="7"/>
      <c r="T2315" s="7"/>
      <c r="U2315" s="7"/>
      <c r="V2315" s="7"/>
      <c r="W2315" s="7"/>
      <c r="X2315" s="7"/>
      <c r="Y2315" s="7"/>
      <c r="Z2315" s="7"/>
      <c r="AA2315" s="7"/>
      <c r="AB2315" s="7"/>
      <c r="AC2315" s="7"/>
      <c r="AD2315" s="7"/>
      <c r="AE2315" s="7"/>
    </row>
    <row r="2316">
      <c r="A2316" s="7"/>
      <c r="B2316" s="21"/>
      <c r="C2316" s="21"/>
      <c r="D2316" s="21"/>
      <c r="E2316" s="21"/>
      <c r="F2316" s="21"/>
      <c r="G2316" s="21"/>
      <c r="H2316" s="21"/>
      <c r="I2316" s="21"/>
      <c r="J2316" s="21"/>
      <c r="K2316" s="21"/>
      <c r="L2316" s="21"/>
      <c r="M2316" s="7"/>
      <c r="N2316" s="7"/>
      <c r="O2316" s="7"/>
      <c r="P2316" s="7"/>
      <c r="Q2316" s="7"/>
      <c r="R2316" s="7"/>
      <c r="S2316" s="7"/>
      <c r="T2316" s="7"/>
      <c r="U2316" s="7"/>
      <c r="V2316" s="7"/>
      <c r="W2316" s="7"/>
      <c r="X2316" s="7"/>
      <c r="Y2316" s="7"/>
      <c r="Z2316" s="7"/>
      <c r="AA2316" s="7"/>
      <c r="AB2316" s="7"/>
      <c r="AC2316" s="7"/>
      <c r="AD2316" s="7"/>
      <c r="AE2316" s="7"/>
    </row>
    <row r="2317">
      <c r="A2317" s="7"/>
      <c r="B2317" s="21"/>
      <c r="C2317" s="21"/>
      <c r="D2317" s="21"/>
      <c r="E2317" s="21"/>
      <c r="F2317" s="21"/>
      <c r="G2317" s="21"/>
      <c r="H2317" s="21"/>
      <c r="I2317" s="21"/>
      <c r="J2317" s="21"/>
      <c r="K2317" s="21"/>
      <c r="L2317" s="21"/>
      <c r="M2317" s="7"/>
      <c r="N2317" s="7"/>
      <c r="O2317" s="7"/>
      <c r="P2317" s="7"/>
      <c r="Q2317" s="7"/>
      <c r="R2317" s="7"/>
      <c r="S2317" s="7"/>
      <c r="T2317" s="7"/>
      <c r="U2317" s="7"/>
      <c r="V2317" s="7"/>
      <c r="W2317" s="7"/>
      <c r="X2317" s="7"/>
      <c r="Y2317" s="7"/>
      <c r="Z2317" s="7"/>
      <c r="AA2317" s="7"/>
      <c r="AB2317" s="7"/>
      <c r="AC2317" s="7"/>
      <c r="AD2317" s="7"/>
      <c r="AE2317" s="7"/>
    </row>
    <row r="2318">
      <c r="A2318" s="7"/>
      <c r="B2318" s="21"/>
      <c r="C2318" s="21"/>
      <c r="D2318" s="21"/>
      <c r="E2318" s="21"/>
      <c r="F2318" s="21"/>
      <c r="G2318" s="21"/>
      <c r="H2318" s="21"/>
      <c r="I2318" s="21"/>
      <c r="J2318" s="21"/>
      <c r="K2318" s="21"/>
      <c r="L2318" s="21"/>
      <c r="M2318" s="7"/>
      <c r="N2318" s="7"/>
      <c r="O2318" s="7"/>
      <c r="P2318" s="7"/>
      <c r="Q2318" s="7"/>
      <c r="R2318" s="7"/>
      <c r="S2318" s="7"/>
      <c r="T2318" s="7"/>
      <c r="U2318" s="7"/>
      <c r="V2318" s="7"/>
      <c r="W2318" s="7"/>
      <c r="X2318" s="7"/>
      <c r="Y2318" s="7"/>
      <c r="Z2318" s="7"/>
      <c r="AA2318" s="7"/>
      <c r="AB2318" s="7"/>
      <c r="AC2318" s="7"/>
      <c r="AD2318" s="7"/>
      <c r="AE2318" s="7"/>
    </row>
    <row r="2319">
      <c r="A2319" s="7"/>
      <c r="B2319" s="21"/>
      <c r="C2319" s="21"/>
      <c r="D2319" s="21"/>
      <c r="E2319" s="21"/>
      <c r="F2319" s="21"/>
      <c r="G2319" s="21"/>
      <c r="H2319" s="21"/>
      <c r="I2319" s="21"/>
      <c r="J2319" s="21"/>
      <c r="K2319" s="21"/>
      <c r="L2319" s="21"/>
      <c r="M2319" s="7"/>
      <c r="N2319" s="7"/>
      <c r="O2319" s="7"/>
      <c r="P2319" s="7"/>
      <c r="Q2319" s="7"/>
      <c r="R2319" s="7"/>
      <c r="S2319" s="7"/>
      <c r="T2319" s="7"/>
      <c r="U2319" s="7"/>
      <c r="V2319" s="7"/>
      <c r="W2319" s="7"/>
      <c r="X2319" s="7"/>
      <c r="Y2319" s="7"/>
      <c r="Z2319" s="7"/>
      <c r="AA2319" s="7"/>
      <c r="AB2319" s="7"/>
      <c r="AC2319" s="7"/>
      <c r="AD2319" s="7"/>
      <c r="AE2319" s="7"/>
    </row>
    <row r="2320">
      <c r="A2320" s="7"/>
      <c r="B2320" s="21"/>
      <c r="C2320" s="21"/>
      <c r="D2320" s="21"/>
      <c r="E2320" s="21"/>
      <c r="F2320" s="21"/>
      <c r="G2320" s="21"/>
      <c r="H2320" s="21"/>
      <c r="I2320" s="21"/>
      <c r="J2320" s="21"/>
      <c r="K2320" s="21"/>
      <c r="L2320" s="21"/>
      <c r="M2320" s="7"/>
      <c r="N2320" s="7"/>
      <c r="O2320" s="7"/>
      <c r="P2320" s="7"/>
      <c r="Q2320" s="7"/>
      <c r="R2320" s="7"/>
      <c r="S2320" s="7"/>
      <c r="T2320" s="7"/>
      <c r="U2320" s="7"/>
      <c r="V2320" s="7"/>
      <c r="W2320" s="7"/>
      <c r="X2320" s="7"/>
      <c r="Y2320" s="7"/>
      <c r="Z2320" s="7"/>
      <c r="AA2320" s="7"/>
      <c r="AB2320" s="7"/>
      <c r="AC2320" s="7"/>
      <c r="AD2320" s="7"/>
      <c r="AE2320" s="7"/>
    </row>
    <row r="2321">
      <c r="A2321" s="7"/>
      <c r="B2321" s="21"/>
      <c r="C2321" s="21"/>
      <c r="D2321" s="21"/>
      <c r="E2321" s="21"/>
      <c r="F2321" s="21"/>
      <c r="G2321" s="21"/>
      <c r="H2321" s="21"/>
      <c r="I2321" s="21"/>
      <c r="J2321" s="21"/>
      <c r="K2321" s="21"/>
      <c r="L2321" s="21"/>
      <c r="M2321" s="7"/>
      <c r="N2321" s="7"/>
      <c r="O2321" s="7"/>
      <c r="P2321" s="7"/>
      <c r="Q2321" s="7"/>
      <c r="R2321" s="7"/>
      <c r="S2321" s="7"/>
      <c r="T2321" s="7"/>
      <c r="U2321" s="7"/>
      <c r="V2321" s="7"/>
      <c r="W2321" s="7"/>
      <c r="X2321" s="7"/>
      <c r="Y2321" s="7"/>
      <c r="Z2321" s="7"/>
      <c r="AA2321" s="7"/>
      <c r="AB2321" s="7"/>
      <c r="AC2321" s="7"/>
      <c r="AD2321" s="7"/>
      <c r="AE2321" s="7"/>
    </row>
    <row r="2322">
      <c r="A2322" s="7"/>
      <c r="B2322" s="21"/>
      <c r="C2322" s="21"/>
      <c r="D2322" s="21"/>
      <c r="E2322" s="21"/>
      <c r="F2322" s="21"/>
      <c r="G2322" s="21"/>
      <c r="H2322" s="21"/>
      <c r="I2322" s="21"/>
      <c r="J2322" s="21"/>
      <c r="K2322" s="21"/>
      <c r="L2322" s="21"/>
      <c r="M2322" s="7"/>
      <c r="N2322" s="7"/>
      <c r="O2322" s="7"/>
      <c r="P2322" s="7"/>
      <c r="Q2322" s="7"/>
      <c r="R2322" s="7"/>
      <c r="S2322" s="7"/>
      <c r="T2322" s="7"/>
      <c r="U2322" s="7"/>
      <c r="V2322" s="7"/>
      <c r="W2322" s="7"/>
      <c r="X2322" s="7"/>
      <c r="Y2322" s="7"/>
      <c r="Z2322" s="7"/>
      <c r="AA2322" s="7"/>
      <c r="AB2322" s="7"/>
      <c r="AC2322" s="7"/>
      <c r="AD2322" s="7"/>
      <c r="AE2322" s="7"/>
    </row>
    <row r="2323">
      <c r="A2323" s="7"/>
      <c r="B2323" s="21"/>
      <c r="C2323" s="21"/>
      <c r="D2323" s="21"/>
      <c r="E2323" s="21"/>
      <c r="F2323" s="21"/>
      <c r="G2323" s="21"/>
      <c r="H2323" s="21"/>
      <c r="I2323" s="21"/>
      <c r="J2323" s="21"/>
      <c r="K2323" s="21"/>
      <c r="L2323" s="21"/>
      <c r="M2323" s="7"/>
      <c r="N2323" s="7"/>
      <c r="O2323" s="7"/>
      <c r="P2323" s="7"/>
      <c r="Q2323" s="7"/>
      <c r="R2323" s="7"/>
      <c r="S2323" s="7"/>
      <c r="T2323" s="7"/>
      <c r="U2323" s="7"/>
      <c r="V2323" s="7"/>
      <c r="W2323" s="7"/>
      <c r="X2323" s="7"/>
      <c r="Y2323" s="7"/>
      <c r="Z2323" s="7"/>
      <c r="AA2323" s="7"/>
      <c r="AB2323" s="7"/>
      <c r="AC2323" s="7"/>
      <c r="AD2323" s="7"/>
      <c r="AE2323" s="7"/>
    </row>
    <row r="2324">
      <c r="A2324" s="7"/>
      <c r="B2324" s="21"/>
      <c r="C2324" s="21"/>
      <c r="D2324" s="21"/>
      <c r="E2324" s="21"/>
      <c r="F2324" s="21"/>
      <c r="G2324" s="21"/>
      <c r="H2324" s="21"/>
      <c r="I2324" s="21"/>
      <c r="J2324" s="21"/>
      <c r="K2324" s="21"/>
      <c r="L2324" s="21"/>
      <c r="M2324" s="7"/>
      <c r="N2324" s="7"/>
      <c r="O2324" s="7"/>
      <c r="P2324" s="7"/>
      <c r="Q2324" s="7"/>
      <c r="R2324" s="7"/>
      <c r="S2324" s="7"/>
      <c r="T2324" s="7"/>
      <c r="U2324" s="7"/>
      <c r="V2324" s="7"/>
      <c r="W2324" s="7"/>
      <c r="X2324" s="7"/>
      <c r="Y2324" s="7"/>
      <c r="Z2324" s="7"/>
      <c r="AA2324" s="7"/>
      <c r="AB2324" s="7"/>
      <c r="AC2324" s="7"/>
      <c r="AD2324" s="7"/>
      <c r="AE2324" s="7"/>
    </row>
    <row r="2325">
      <c r="A2325" s="7"/>
      <c r="B2325" s="21"/>
      <c r="C2325" s="21"/>
      <c r="D2325" s="21"/>
      <c r="E2325" s="21"/>
      <c r="F2325" s="21"/>
      <c r="G2325" s="21"/>
      <c r="H2325" s="21"/>
      <c r="I2325" s="21"/>
      <c r="J2325" s="21"/>
      <c r="K2325" s="21"/>
      <c r="L2325" s="21"/>
      <c r="M2325" s="7"/>
      <c r="N2325" s="7"/>
      <c r="O2325" s="7"/>
      <c r="P2325" s="7"/>
      <c r="Q2325" s="7"/>
      <c r="R2325" s="7"/>
      <c r="S2325" s="7"/>
      <c r="T2325" s="7"/>
      <c r="U2325" s="7"/>
      <c r="V2325" s="7"/>
      <c r="W2325" s="7"/>
      <c r="X2325" s="7"/>
      <c r="Y2325" s="7"/>
      <c r="Z2325" s="7"/>
      <c r="AA2325" s="7"/>
      <c r="AB2325" s="7"/>
      <c r="AC2325" s="7"/>
      <c r="AD2325" s="7"/>
      <c r="AE2325" s="7"/>
    </row>
    <row r="2326">
      <c r="A2326" s="7"/>
      <c r="B2326" s="21"/>
      <c r="C2326" s="21"/>
      <c r="D2326" s="21"/>
      <c r="E2326" s="21"/>
      <c r="F2326" s="21"/>
      <c r="G2326" s="21"/>
      <c r="H2326" s="21"/>
      <c r="I2326" s="21"/>
      <c r="J2326" s="21"/>
      <c r="K2326" s="21"/>
      <c r="L2326" s="21"/>
      <c r="M2326" s="7"/>
      <c r="N2326" s="7"/>
      <c r="O2326" s="7"/>
      <c r="P2326" s="7"/>
      <c r="Q2326" s="7"/>
      <c r="R2326" s="7"/>
      <c r="S2326" s="7"/>
      <c r="T2326" s="7"/>
      <c r="U2326" s="7"/>
      <c r="V2326" s="7"/>
      <c r="W2326" s="7"/>
      <c r="X2326" s="7"/>
      <c r="Y2326" s="7"/>
      <c r="Z2326" s="7"/>
      <c r="AA2326" s="7"/>
      <c r="AB2326" s="7"/>
      <c r="AC2326" s="7"/>
      <c r="AD2326" s="7"/>
      <c r="AE2326" s="7"/>
    </row>
    <row r="2327">
      <c r="A2327" s="7"/>
      <c r="B2327" s="21"/>
      <c r="C2327" s="21"/>
      <c r="D2327" s="21"/>
      <c r="E2327" s="21"/>
      <c r="F2327" s="21"/>
      <c r="G2327" s="21"/>
      <c r="H2327" s="21"/>
      <c r="I2327" s="21"/>
      <c r="J2327" s="21"/>
      <c r="K2327" s="21"/>
      <c r="L2327" s="21"/>
      <c r="M2327" s="7"/>
      <c r="N2327" s="7"/>
      <c r="O2327" s="7"/>
      <c r="P2327" s="7"/>
      <c r="Q2327" s="7"/>
      <c r="R2327" s="7"/>
      <c r="S2327" s="7"/>
      <c r="T2327" s="7"/>
      <c r="U2327" s="7"/>
      <c r="V2327" s="7"/>
      <c r="W2327" s="7"/>
      <c r="X2327" s="7"/>
      <c r="Y2327" s="7"/>
      <c r="Z2327" s="7"/>
      <c r="AA2327" s="7"/>
      <c r="AB2327" s="7"/>
      <c r="AC2327" s="7"/>
      <c r="AD2327" s="7"/>
      <c r="AE2327" s="7"/>
    </row>
    <row r="2328">
      <c r="A2328" s="7"/>
      <c r="B2328" s="21"/>
      <c r="C2328" s="21"/>
      <c r="D2328" s="21"/>
      <c r="E2328" s="21"/>
      <c r="F2328" s="21"/>
      <c r="G2328" s="21"/>
      <c r="H2328" s="21"/>
      <c r="I2328" s="21"/>
      <c r="J2328" s="21"/>
      <c r="K2328" s="21"/>
      <c r="L2328" s="21"/>
      <c r="M2328" s="7"/>
      <c r="N2328" s="7"/>
      <c r="O2328" s="7"/>
      <c r="P2328" s="7"/>
      <c r="Q2328" s="7"/>
      <c r="R2328" s="7"/>
      <c r="S2328" s="7"/>
      <c r="T2328" s="7"/>
      <c r="U2328" s="7"/>
      <c r="V2328" s="7"/>
      <c r="W2328" s="7"/>
      <c r="X2328" s="7"/>
      <c r="Y2328" s="7"/>
      <c r="Z2328" s="7"/>
      <c r="AA2328" s="7"/>
      <c r="AB2328" s="7"/>
      <c r="AC2328" s="7"/>
      <c r="AD2328" s="7"/>
      <c r="AE2328" s="7"/>
    </row>
    <row r="2329">
      <c r="A2329" s="7"/>
      <c r="B2329" s="21"/>
      <c r="C2329" s="21"/>
      <c r="D2329" s="21"/>
      <c r="E2329" s="21"/>
      <c r="F2329" s="21"/>
      <c r="G2329" s="21"/>
      <c r="H2329" s="21"/>
      <c r="I2329" s="21"/>
      <c r="J2329" s="21"/>
      <c r="K2329" s="21"/>
      <c r="L2329" s="21"/>
      <c r="M2329" s="7"/>
      <c r="N2329" s="7"/>
      <c r="O2329" s="7"/>
      <c r="P2329" s="7"/>
      <c r="Q2329" s="7"/>
      <c r="R2329" s="7"/>
      <c r="S2329" s="7"/>
      <c r="T2329" s="7"/>
      <c r="U2329" s="7"/>
      <c r="V2329" s="7"/>
      <c r="W2329" s="7"/>
      <c r="X2329" s="7"/>
      <c r="Y2329" s="7"/>
      <c r="Z2329" s="7"/>
      <c r="AA2329" s="7"/>
      <c r="AB2329" s="7"/>
      <c r="AC2329" s="7"/>
      <c r="AD2329" s="7"/>
      <c r="AE2329" s="7"/>
    </row>
    <row r="2330">
      <c r="A2330" s="7"/>
      <c r="B2330" s="21"/>
      <c r="C2330" s="21"/>
      <c r="D2330" s="21"/>
      <c r="E2330" s="21"/>
      <c r="F2330" s="21"/>
      <c r="G2330" s="21"/>
      <c r="H2330" s="21"/>
      <c r="I2330" s="21"/>
      <c r="J2330" s="21"/>
      <c r="K2330" s="21"/>
      <c r="L2330" s="21"/>
      <c r="M2330" s="7"/>
      <c r="N2330" s="7"/>
      <c r="O2330" s="7"/>
      <c r="P2330" s="7"/>
      <c r="Q2330" s="7"/>
      <c r="R2330" s="7"/>
      <c r="S2330" s="7"/>
      <c r="T2330" s="7"/>
      <c r="U2330" s="7"/>
      <c r="V2330" s="7"/>
      <c r="W2330" s="7"/>
      <c r="X2330" s="7"/>
      <c r="Y2330" s="7"/>
      <c r="Z2330" s="7"/>
      <c r="AA2330" s="7"/>
      <c r="AB2330" s="7"/>
      <c r="AC2330" s="7"/>
      <c r="AD2330" s="7"/>
      <c r="AE2330" s="7"/>
    </row>
    <row r="2331">
      <c r="A2331" s="7"/>
      <c r="B2331" s="21"/>
      <c r="C2331" s="21"/>
      <c r="D2331" s="21"/>
      <c r="E2331" s="21"/>
      <c r="F2331" s="21"/>
      <c r="G2331" s="21"/>
      <c r="H2331" s="21"/>
      <c r="I2331" s="21"/>
      <c r="J2331" s="21"/>
      <c r="K2331" s="21"/>
      <c r="L2331" s="21"/>
      <c r="M2331" s="7"/>
      <c r="N2331" s="7"/>
      <c r="O2331" s="7"/>
      <c r="P2331" s="7"/>
      <c r="Q2331" s="7"/>
      <c r="R2331" s="7"/>
      <c r="S2331" s="7"/>
      <c r="T2331" s="7"/>
      <c r="U2331" s="7"/>
      <c r="V2331" s="7"/>
      <c r="W2331" s="7"/>
      <c r="X2331" s="7"/>
      <c r="Y2331" s="7"/>
      <c r="Z2331" s="7"/>
      <c r="AA2331" s="7"/>
      <c r="AB2331" s="7"/>
      <c r="AC2331" s="7"/>
      <c r="AD2331" s="7"/>
      <c r="AE2331" s="7"/>
    </row>
    <row r="2332">
      <c r="A2332" s="7"/>
      <c r="B2332" s="21"/>
      <c r="C2332" s="21"/>
      <c r="D2332" s="21"/>
      <c r="E2332" s="21"/>
      <c r="F2332" s="21"/>
      <c r="G2332" s="21"/>
      <c r="H2332" s="21"/>
      <c r="I2332" s="21"/>
      <c r="J2332" s="21"/>
      <c r="K2332" s="21"/>
      <c r="L2332" s="21"/>
      <c r="M2332" s="7"/>
      <c r="N2332" s="7"/>
      <c r="O2332" s="7"/>
      <c r="P2332" s="7"/>
      <c r="Q2332" s="7"/>
      <c r="R2332" s="7"/>
      <c r="S2332" s="7"/>
      <c r="T2332" s="7"/>
      <c r="U2332" s="7"/>
      <c r="V2332" s="7"/>
      <c r="W2332" s="7"/>
      <c r="X2332" s="7"/>
      <c r="Y2332" s="7"/>
      <c r="Z2332" s="7"/>
      <c r="AA2332" s="7"/>
      <c r="AB2332" s="7"/>
      <c r="AC2332" s="7"/>
      <c r="AD2332" s="7"/>
      <c r="AE2332" s="7"/>
    </row>
    <row r="2333">
      <c r="A2333" s="7"/>
      <c r="B2333" s="21"/>
      <c r="C2333" s="21"/>
      <c r="D2333" s="21"/>
      <c r="E2333" s="21"/>
      <c r="F2333" s="21"/>
      <c r="G2333" s="21"/>
      <c r="H2333" s="21"/>
      <c r="I2333" s="21"/>
      <c r="J2333" s="21"/>
      <c r="K2333" s="21"/>
      <c r="L2333" s="21"/>
      <c r="M2333" s="7"/>
      <c r="N2333" s="7"/>
      <c r="O2333" s="7"/>
      <c r="P2333" s="7"/>
      <c r="Q2333" s="7"/>
      <c r="R2333" s="7"/>
      <c r="S2333" s="7"/>
      <c r="T2333" s="7"/>
      <c r="U2333" s="7"/>
      <c r="V2333" s="7"/>
      <c r="W2333" s="7"/>
      <c r="X2333" s="7"/>
      <c r="Y2333" s="7"/>
      <c r="Z2333" s="7"/>
      <c r="AA2333" s="7"/>
      <c r="AB2333" s="7"/>
      <c r="AC2333" s="7"/>
      <c r="AD2333" s="7"/>
      <c r="AE2333" s="7"/>
    </row>
    <row r="2334">
      <c r="A2334" s="7"/>
      <c r="B2334" s="21"/>
      <c r="C2334" s="21"/>
      <c r="D2334" s="21"/>
      <c r="E2334" s="21"/>
      <c r="F2334" s="21"/>
      <c r="G2334" s="21"/>
      <c r="H2334" s="21"/>
      <c r="I2334" s="21"/>
      <c r="J2334" s="21"/>
      <c r="K2334" s="21"/>
      <c r="L2334" s="21"/>
      <c r="M2334" s="7"/>
      <c r="N2334" s="7"/>
      <c r="O2334" s="7"/>
      <c r="P2334" s="7"/>
      <c r="Q2334" s="7"/>
      <c r="R2334" s="7"/>
      <c r="S2334" s="7"/>
      <c r="T2334" s="7"/>
      <c r="U2334" s="7"/>
      <c r="V2334" s="7"/>
      <c r="W2334" s="7"/>
      <c r="X2334" s="7"/>
      <c r="Y2334" s="7"/>
      <c r="Z2334" s="7"/>
      <c r="AA2334" s="7"/>
      <c r="AB2334" s="7"/>
      <c r="AC2334" s="7"/>
      <c r="AD2334" s="7"/>
      <c r="AE2334" s="7"/>
    </row>
    <row r="2335">
      <c r="A2335" s="7"/>
      <c r="B2335" s="21"/>
      <c r="C2335" s="21"/>
      <c r="D2335" s="21"/>
      <c r="E2335" s="21"/>
      <c r="F2335" s="21"/>
      <c r="G2335" s="21"/>
      <c r="H2335" s="21"/>
      <c r="I2335" s="21"/>
      <c r="J2335" s="21"/>
      <c r="K2335" s="21"/>
      <c r="L2335" s="21"/>
      <c r="M2335" s="7"/>
      <c r="N2335" s="7"/>
      <c r="O2335" s="7"/>
      <c r="P2335" s="7"/>
      <c r="Q2335" s="7"/>
      <c r="R2335" s="7"/>
      <c r="S2335" s="7"/>
      <c r="T2335" s="7"/>
      <c r="U2335" s="7"/>
      <c r="V2335" s="7"/>
      <c r="W2335" s="7"/>
      <c r="X2335" s="7"/>
      <c r="Y2335" s="7"/>
      <c r="Z2335" s="7"/>
      <c r="AA2335" s="7"/>
      <c r="AB2335" s="7"/>
      <c r="AC2335" s="7"/>
      <c r="AD2335" s="7"/>
      <c r="AE2335" s="7"/>
    </row>
    <row r="2336">
      <c r="A2336" s="7"/>
      <c r="B2336" s="21"/>
      <c r="C2336" s="21"/>
      <c r="D2336" s="21"/>
      <c r="E2336" s="21"/>
      <c r="F2336" s="21"/>
      <c r="G2336" s="21"/>
      <c r="H2336" s="21"/>
      <c r="I2336" s="21"/>
      <c r="J2336" s="21"/>
      <c r="K2336" s="21"/>
      <c r="L2336" s="21"/>
      <c r="M2336" s="7"/>
      <c r="N2336" s="7"/>
      <c r="O2336" s="7"/>
      <c r="P2336" s="7"/>
      <c r="Q2336" s="7"/>
      <c r="R2336" s="7"/>
      <c r="S2336" s="7"/>
      <c r="T2336" s="7"/>
      <c r="U2336" s="7"/>
      <c r="V2336" s="7"/>
      <c r="W2336" s="7"/>
      <c r="X2336" s="7"/>
      <c r="Y2336" s="7"/>
      <c r="Z2336" s="7"/>
      <c r="AA2336" s="7"/>
      <c r="AB2336" s="7"/>
      <c r="AC2336" s="7"/>
      <c r="AD2336" s="7"/>
      <c r="AE2336" s="7"/>
    </row>
    <row r="2337">
      <c r="A2337" s="7"/>
      <c r="B2337" s="21"/>
      <c r="C2337" s="21"/>
      <c r="D2337" s="21"/>
      <c r="E2337" s="21"/>
      <c r="F2337" s="21"/>
      <c r="G2337" s="21"/>
      <c r="H2337" s="21"/>
      <c r="I2337" s="21"/>
      <c r="J2337" s="21"/>
      <c r="K2337" s="21"/>
      <c r="L2337" s="21"/>
      <c r="M2337" s="7"/>
      <c r="N2337" s="7"/>
      <c r="O2337" s="7"/>
      <c r="P2337" s="7"/>
      <c r="Q2337" s="7"/>
      <c r="R2337" s="7"/>
      <c r="S2337" s="7"/>
      <c r="T2337" s="7"/>
      <c r="U2337" s="7"/>
      <c r="V2337" s="7"/>
      <c r="W2337" s="7"/>
      <c r="X2337" s="7"/>
      <c r="Y2337" s="7"/>
      <c r="Z2337" s="7"/>
      <c r="AA2337" s="7"/>
      <c r="AB2337" s="7"/>
      <c r="AC2337" s="7"/>
      <c r="AD2337" s="7"/>
      <c r="AE2337" s="7"/>
    </row>
    <row r="2338">
      <c r="A2338" s="7"/>
      <c r="B2338" s="21"/>
      <c r="C2338" s="21"/>
      <c r="D2338" s="21"/>
      <c r="E2338" s="21"/>
      <c r="F2338" s="21"/>
      <c r="G2338" s="21"/>
      <c r="H2338" s="21"/>
      <c r="I2338" s="21"/>
      <c r="J2338" s="21"/>
      <c r="K2338" s="21"/>
      <c r="L2338" s="21"/>
      <c r="M2338" s="7"/>
      <c r="N2338" s="7"/>
      <c r="O2338" s="7"/>
      <c r="P2338" s="7"/>
      <c r="Q2338" s="7"/>
      <c r="R2338" s="7"/>
      <c r="S2338" s="7"/>
      <c r="T2338" s="7"/>
      <c r="U2338" s="7"/>
      <c r="V2338" s="7"/>
      <c r="W2338" s="7"/>
      <c r="X2338" s="7"/>
      <c r="Y2338" s="7"/>
      <c r="Z2338" s="7"/>
      <c r="AA2338" s="7"/>
      <c r="AB2338" s="7"/>
      <c r="AC2338" s="7"/>
      <c r="AD2338" s="7"/>
      <c r="AE2338" s="7"/>
    </row>
    <row r="2339">
      <c r="A2339" s="7"/>
      <c r="B2339" s="21"/>
      <c r="C2339" s="21"/>
      <c r="D2339" s="21"/>
      <c r="E2339" s="21"/>
      <c r="F2339" s="21"/>
      <c r="G2339" s="21"/>
      <c r="H2339" s="21"/>
      <c r="I2339" s="21"/>
      <c r="J2339" s="21"/>
      <c r="K2339" s="21"/>
      <c r="L2339" s="21"/>
      <c r="M2339" s="7"/>
      <c r="N2339" s="7"/>
      <c r="O2339" s="7"/>
      <c r="P2339" s="7"/>
      <c r="Q2339" s="7"/>
      <c r="R2339" s="7"/>
      <c r="S2339" s="7"/>
      <c r="T2339" s="7"/>
      <c r="U2339" s="7"/>
      <c r="V2339" s="7"/>
      <c r="W2339" s="7"/>
      <c r="X2339" s="7"/>
      <c r="Y2339" s="7"/>
      <c r="Z2339" s="7"/>
      <c r="AA2339" s="7"/>
      <c r="AB2339" s="7"/>
      <c r="AC2339" s="7"/>
      <c r="AD2339" s="7"/>
      <c r="AE2339" s="7"/>
    </row>
    <row r="2340">
      <c r="A2340" s="7"/>
      <c r="B2340" s="21"/>
      <c r="C2340" s="21"/>
      <c r="D2340" s="21"/>
      <c r="E2340" s="21"/>
      <c r="F2340" s="21"/>
      <c r="G2340" s="21"/>
      <c r="H2340" s="21"/>
      <c r="I2340" s="21"/>
      <c r="J2340" s="21"/>
      <c r="K2340" s="21"/>
      <c r="L2340" s="21"/>
      <c r="M2340" s="7"/>
      <c r="N2340" s="7"/>
      <c r="O2340" s="7"/>
      <c r="P2340" s="7"/>
      <c r="Q2340" s="7"/>
      <c r="R2340" s="7"/>
      <c r="S2340" s="7"/>
      <c r="T2340" s="7"/>
      <c r="U2340" s="7"/>
      <c r="V2340" s="7"/>
      <c r="W2340" s="7"/>
      <c r="X2340" s="7"/>
      <c r="Y2340" s="7"/>
      <c r="Z2340" s="7"/>
      <c r="AA2340" s="7"/>
      <c r="AB2340" s="7"/>
      <c r="AC2340" s="7"/>
      <c r="AD2340" s="7"/>
      <c r="AE2340" s="7"/>
    </row>
    <row r="2341">
      <c r="A2341" s="7"/>
      <c r="B2341" s="21"/>
      <c r="C2341" s="21"/>
      <c r="D2341" s="21"/>
      <c r="E2341" s="21"/>
      <c r="F2341" s="21"/>
      <c r="G2341" s="21"/>
      <c r="H2341" s="21"/>
      <c r="I2341" s="21"/>
      <c r="J2341" s="21"/>
      <c r="K2341" s="21"/>
      <c r="L2341" s="21"/>
      <c r="M2341" s="7"/>
      <c r="N2341" s="7"/>
      <c r="O2341" s="7"/>
      <c r="P2341" s="7"/>
      <c r="Q2341" s="7"/>
      <c r="R2341" s="7"/>
      <c r="S2341" s="7"/>
      <c r="T2341" s="7"/>
      <c r="U2341" s="7"/>
      <c r="V2341" s="7"/>
      <c r="W2341" s="7"/>
      <c r="X2341" s="7"/>
      <c r="Y2341" s="7"/>
      <c r="Z2341" s="7"/>
      <c r="AA2341" s="7"/>
      <c r="AB2341" s="7"/>
      <c r="AC2341" s="7"/>
      <c r="AD2341" s="7"/>
      <c r="AE2341" s="7"/>
    </row>
    <row r="2342">
      <c r="A2342" s="7"/>
      <c r="B2342" s="21"/>
      <c r="C2342" s="21"/>
      <c r="D2342" s="21"/>
      <c r="E2342" s="21"/>
      <c r="F2342" s="21"/>
      <c r="G2342" s="21"/>
      <c r="H2342" s="21"/>
      <c r="I2342" s="21"/>
      <c r="J2342" s="21"/>
      <c r="K2342" s="21"/>
      <c r="L2342" s="21"/>
      <c r="M2342" s="7"/>
      <c r="N2342" s="7"/>
      <c r="O2342" s="7"/>
      <c r="P2342" s="7"/>
      <c r="Q2342" s="7"/>
      <c r="R2342" s="7"/>
      <c r="S2342" s="7"/>
      <c r="T2342" s="7"/>
      <c r="U2342" s="7"/>
      <c r="V2342" s="7"/>
      <c r="W2342" s="7"/>
      <c r="X2342" s="7"/>
      <c r="Y2342" s="7"/>
      <c r="Z2342" s="7"/>
      <c r="AA2342" s="7"/>
      <c r="AB2342" s="7"/>
      <c r="AC2342" s="7"/>
      <c r="AD2342" s="7"/>
      <c r="AE2342" s="7"/>
    </row>
    <row r="2343">
      <c r="A2343" s="7"/>
      <c r="B2343" s="21"/>
      <c r="C2343" s="21"/>
      <c r="D2343" s="21"/>
      <c r="E2343" s="21"/>
      <c r="F2343" s="21"/>
      <c r="G2343" s="21"/>
      <c r="H2343" s="21"/>
      <c r="I2343" s="21"/>
      <c r="J2343" s="21"/>
      <c r="K2343" s="21"/>
      <c r="L2343" s="21"/>
      <c r="M2343" s="7"/>
      <c r="N2343" s="7"/>
      <c r="O2343" s="7"/>
      <c r="P2343" s="7"/>
      <c r="Q2343" s="7"/>
      <c r="R2343" s="7"/>
      <c r="S2343" s="7"/>
      <c r="T2343" s="7"/>
      <c r="U2343" s="7"/>
      <c r="V2343" s="7"/>
      <c r="W2343" s="7"/>
      <c r="X2343" s="7"/>
      <c r="Y2343" s="7"/>
      <c r="Z2343" s="7"/>
      <c r="AA2343" s="7"/>
      <c r="AB2343" s="7"/>
      <c r="AC2343" s="7"/>
      <c r="AD2343" s="7"/>
      <c r="AE2343" s="7"/>
    </row>
    <row r="2344">
      <c r="A2344" s="7"/>
      <c r="B2344" s="21"/>
      <c r="C2344" s="21"/>
      <c r="D2344" s="21"/>
      <c r="E2344" s="21"/>
      <c r="F2344" s="21"/>
      <c r="G2344" s="21"/>
      <c r="H2344" s="21"/>
      <c r="I2344" s="21"/>
      <c r="J2344" s="21"/>
      <c r="K2344" s="21"/>
      <c r="L2344" s="21"/>
      <c r="M2344" s="7"/>
      <c r="N2344" s="7"/>
      <c r="O2344" s="7"/>
      <c r="P2344" s="7"/>
      <c r="Q2344" s="7"/>
      <c r="R2344" s="7"/>
      <c r="S2344" s="7"/>
      <c r="T2344" s="7"/>
      <c r="U2344" s="7"/>
      <c r="V2344" s="7"/>
      <c r="W2344" s="7"/>
      <c r="X2344" s="7"/>
      <c r="Y2344" s="7"/>
      <c r="Z2344" s="7"/>
      <c r="AA2344" s="7"/>
      <c r="AB2344" s="7"/>
      <c r="AC2344" s="7"/>
      <c r="AD2344" s="7"/>
      <c r="AE2344" s="7"/>
    </row>
    <row r="2345">
      <c r="A2345" s="7"/>
      <c r="B2345" s="21"/>
      <c r="C2345" s="21"/>
      <c r="D2345" s="21"/>
      <c r="E2345" s="21"/>
      <c r="F2345" s="21"/>
      <c r="G2345" s="21"/>
      <c r="H2345" s="21"/>
      <c r="I2345" s="21"/>
      <c r="J2345" s="21"/>
      <c r="K2345" s="21"/>
      <c r="L2345" s="21"/>
      <c r="M2345" s="7"/>
      <c r="N2345" s="7"/>
      <c r="O2345" s="7"/>
      <c r="P2345" s="7"/>
      <c r="Q2345" s="7"/>
      <c r="R2345" s="7"/>
      <c r="S2345" s="7"/>
      <c r="T2345" s="7"/>
      <c r="U2345" s="7"/>
      <c r="V2345" s="7"/>
      <c r="W2345" s="7"/>
      <c r="X2345" s="7"/>
      <c r="Y2345" s="7"/>
      <c r="Z2345" s="7"/>
      <c r="AA2345" s="7"/>
      <c r="AB2345" s="7"/>
      <c r="AC2345" s="7"/>
      <c r="AD2345" s="7"/>
      <c r="AE2345" s="7"/>
    </row>
    <row r="2346">
      <c r="A2346" s="7"/>
      <c r="B2346" s="21"/>
      <c r="C2346" s="21"/>
      <c r="D2346" s="21"/>
      <c r="E2346" s="21"/>
      <c r="F2346" s="21"/>
      <c r="G2346" s="21"/>
      <c r="H2346" s="21"/>
      <c r="I2346" s="21"/>
      <c r="J2346" s="21"/>
      <c r="K2346" s="21"/>
      <c r="L2346" s="21"/>
      <c r="M2346" s="7"/>
      <c r="N2346" s="7"/>
      <c r="O2346" s="7"/>
      <c r="P2346" s="7"/>
      <c r="Q2346" s="7"/>
      <c r="R2346" s="7"/>
      <c r="S2346" s="7"/>
      <c r="T2346" s="7"/>
      <c r="U2346" s="7"/>
      <c r="V2346" s="7"/>
      <c r="W2346" s="7"/>
      <c r="X2346" s="7"/>
      <c r="Y2346" s="7"/>
      <c r="Z2346" s="7"/>
      <c r="AA2346" s="7"/>
      <c r="AB2346" s="7"/>
      <c r="AC2346" s="7"/>
      <c r="AD2346" s="7"/>
      <c r="AE2346" s="7"/>
    </row>
    <row r="2347">
      <c r="A2347" s="7"/>
      <c r="B2347" s="21"/>
      <c r="C2347" s="21"/>
      <c r="D2347" s="21"/>
      <c r="E2347" s="21"/>
      <c r="F2347" s="21"/>
      <c r="G2347" s="21"/>
      <c r="H2347" s="21"/>
      <c r="I2347" s="21"/>
      <c r="J2347" s="21"/>
      <c r="K2347" s="21"/>
      <c r="L2347" s="21"/>
      <c r="M2347" s="7"/>
      <c r="N2347" s="7"/>
      <c r="O2347" s="7"/>
      <c r="P2347" s="7"/>
      <c r="Q2347" s="7"/>
      <c r="R2347" s="7"/>
      <c r="S2347" s="7"/>
      <c r="T2347" s="7"/>
      <c r="U2347" s="7"/>
      <c r="V2347" s="7"/>
      <c r="W2347" s="7"/>
      <c r="X2347" s="7"/>
      <c r="Y2347" s="7"/>
      <c r="Z2347" s="7"/>
      <c r="AA2347" s="7"/>
      <c r="AB2347" s="7"/>
      <c r="AC2347" s="7"/>
      <c r="AD2347" s="7"/>
      <c r="AE2347" s="7"/>
    </row>
    <row r="2348">
      <c r="A2348" s="7"/>
      <c r="B2348" s="21"/>
      <c r="C2348" s="21"/>
      <c r="D2348" s="21"/>
      <c r="E2348" s="21"/>
      <c r="F2348" s="21"/>
      <c r="G2348" s="21"/>
      <c r="H2348" s="21"/>
      <c r="I2348" s="21"/>
      <c r="J2348" s="21"/>
      <c r="K2348" s="21"/>
      <c r="L2348" s="21"/>
      <c r="M2348" s="7"/>
      <c r="N2348" s="7"/>
      <c r="O2348" s="7"/>
      <c r="P2348" s="7"/>
      <c r="Q2348" s="7"/>
      <c r="R2348" s="7"/>
      <c r="S2348" s="7"/>
      <c r="T2348" s="7"/>
      <c r="U2348" s="7"/>
      <c r="V2348" s="7"/>
      <c r="W2348" s="7"/>
      <c r="X2348" s="7"/>
      <c r="Y2348" s="7"/>
      <c r="Z2348" s="7"/>
      <c r="AA2348" s="7"/>
      <c r="AB2348" s="7"/>
      <c r="AC2348" s="7"/>
      <c r="AD2348" s="7"/>
      <c r="AE2348" s="7"/>
    </row>
    <row r="2349">
      <c r="A2349" s="7"/>
      <c r="B2349" s="21"/>
      <c r="C2349" s="21"/>
      <c r="D2349" s="21"/>
      <c r="E2349" s="21"/>
      <c r="F2349" s="21"/>
      <c r="G2349" s="21"/>
      <c r="H2349" s="21"/>
      <c r="I2349" s="21"/>
      <c r="J2349" s="21"/>
      <c r="K2349" s="21"/>
      <c r="L2349" s="21"/>
      <c r="M2349" s="7"/>
      <c r="N2349" s="7"/>
      <c r="O2349" s="7"/>
      <c r="P2349" s="7"/>
      <c r="Q2349" s="7"/>
      <c r="R2349" s="7"/>
      <c r="S2349" s="7"/>
      <c r="T2349" s="7"/>
      <c r="U2349" s="7"/>
      <c r="V2349" s="7"/>
      <c r="W2349" s="7"/>
      <c r="X2349" s="7"/>
      <c r="Y2349" s="7"/>
      <c r="Z2349" s="7"/>
      <c r="AA2349" s="7"/>
      <c r="AB2349" s="7"/>
      <c r="AC2349" s="7"/>
      <c r="AD2349" s="7"/>
      <c r="AE2349" s="7"/>
    </row>
    <row r="2350">
      <c r="A2350" s="7"/>
      <c r="B2350" s="21"/>
      <c r="C2350" s="21"/>
      <c r="D2350" s="21"/>
      <c r="E2350" s="21"/>
      <c r="F2350" s="21"/>
      <c r="G2350" s="21"/>
      <c r="H2350" s="21"/>
      <c r="I2350" s="21"/>
      <c r="J2350" s="21"/>
      <c r="K2350" s="21"/>
      <c r="L2350" s="21"/>
      <c r="M2350" s="7"/>
      <c r="N2350" s="7"/>
      <c r="O2350" s="7"/>
      <c r="P2350" s="7"/>
      <c r="Q2350" s="7"/>
      <c r="R2350" s="7"/>
      <c r="S2350" s="7"/>
      <c r="T2350" s="7"/>
      <c r="U2350" s="7"/>
      <c r="V2350" s="7"/>
      <c r="W2350" s="7"/>
      <c r="X2350" s="7"/>
      <c r="Y2350" s="7"/>
      <c r="Z2350" s="7"/>
      <c r="AA2350" s="7"/>
      <c r="AB2350" s="7"/>
      <c r="AC2350" s="7"/>
      <c r="AD2350" s="7"/>
      <c r="AE2350" s="7"/>
    </row>
    <row r="2351">
      <c r="A2351" s="7"/>
      <c r="B2351" s="21"/>
      <c r="C2351" s="21"/>
      <c r="D2351" s="21"/>
      <c r="E2351" s="21"/>
      <c r="F2351" s="21"/>
      <c r="G2351" s="21"/>
      <c r="H2351" s="21"/>
      <c r="I2351" s="21"/>
      <c r="J2351" s="21"/>
      <c r="K2351" s="21"/>
      <c r="L2351" s="21"/>
      <c r="M2351" s="7"/>
      <c r="N2351" s="7"/>
      <c r="O2351" s="7"/>
      <c r="P2351" s="7"/>
      <c r="Q2351" s="7"/>
      <c r="R2351" s="7"/>
      <c r="S2351" s="7"/>
      <c r="T2351" s="7"/>
      <c r="U2351" s="7"/>
      <c r="V2351" s="7"/>
      <c r="W2351" s="7"/>
      <c r="X2351" s="7"/>
      <c r="Y2351" s="7"/>
      <c r="Z2351" s="7"/>
      <c r="AA2351" s="7"/>
      <c r="AB2351" s="7"/>
      <c r="AC2351" s="7"/>
      <c r="AD2351" s="7"/>
      <c r="AE2351" s="7"/>
    </row>
    <row r="2352">
      <c r="A2352" s="7"/>
      <c r="B2352" s="21"/>
      <c r="C2352" s="21"/>
      <c r="D2352" s="21"/>
      <c r="E2352" s="21"/>
      <c r="F2352" s="21"/>
      <c r="G2352" s="21"/>
      <c r="H2352" s="21"/>
      <c r="I2352" s="21"/>
      <c r="J2352" s="21"/>
      <c r="K2352" s="21"/>
      <c r="L2352" s="21"/>
      <c r="M2352" s="7"/>
      <c r="N2352" s="7"/>
      <c r="O2352" s="7"/>
      <c r="P2352" s="7"/>
      <c r="Q2352" s="7"/>
      <c r="R2352" s="7"/>
      <c r="S2352" s="7"/>
      <c r="T2352" s="7"/>
      <c r="U2352" s="7"/>
      <c r="V2352" s="7"/>
      <c r="W2352" s="7"/>
      <c r="X2352" s="7"/>
      <c r="Y2352" s="7"/>
      <c r="Z2352" s="7"/>
      <c r="AA2352" s="7"/>
      <c r="AB2352" s="7"/>
      <c r="AC2352" s="7"/>
      <c r="AD2352" s="7"/>
      <c r="AE2352" s="7"/>
    </row>
    <row r="2353">
      <c r="A2353" s="7"/>
      <c r="B2353" s="21"/>
      <c r="C2353" s="21"/>
      <c r="D2353" s="21"/>
      <c r="E2353" s="21"/>
      <c r="F2353" s="21"/>
      <c r="G2353" s="21"/>
      <c r="H2353" s="21"/>
      <c r="I2353" s="21"/>
      <c r="J2353" s="21"/>
      <c r="K2353" s="21"/>
      <c r="L2353" s="21"/>
      <c r="M2353" s="7"/>
      <c r="N2353" s="7"/>
      <c r="O2353" s="7"/>
      <c r="P2353" s="7"/>
      <c r="Q2353" s="7"/>
      <c r="R2353" s="7"/>
      <c r="S2353" s="7"/>
      <c r="T2353" s="7"/>
      <c r="U2353" s="7"/>
      <c r="V2353" s="7"/>
      <c r="W2353" s="7"/>
      <c r="X2353" s="7"/>
      <c r="Y2353" s="7"/>
      <c r="Z2353" s="7"/>
      <c r="AA2353" s="7"/>
      <c r="AB2353" s="7"/>
      <c r="AC2353" s="7"/>
      <c r="AD2353" s="7"/>
      <c r="AE2353" s="7"/>
    </row>
    <row r="2354">
      <c r="A2354" s="7"/>
      <c r="B2354" s="21"/>
      <c r="C2354" s="21"/>
      <c r="D2354" s="21"/>
      <c r="E2354" s="21"/>
      <c r="F2354" s="21"/>
      <c r="G2354" s="21"/>
      <c r="H2354" s="21"/>
      <c r="I2354" s="21"/>
      <c r="J2354" s="21"/>
      <c r="K2354" s="21"/>
      <c r="L2354" s="21"/>
      <c r="M2354" s="7"/>
      <c r="N2354" s="7"/>
      <c r="O2354" s="7"/>
      <c r="P2354" s="7"/>
      <c r="Q2354" s="7"/>
      <c r="R2354" s="7"/>
      <c r="S2354" s="7"/>
      <c r="T2354" s="7"/>
      <c r="U2354" s="7"/>
      <c r="V2354" s="7"/>
      <c r="W2354" s="7"/>
      <c r="X2354" s="7"/>
      <c r="Y2354" s="7"/>
      <c r="Z2354" s="7"/>
      <c r="AA2354" s="7"/>
      <c r="AB2354" s="7"/>
      <c r="AC2354" s="7"/>
      <c r="AD2354" s="7"/>
      <c r="AE2354" s="7"/>
    </row>
    <row r="2355">
      <c r="A2355" s="7"/>
      <c r="B2355" s="21"/>
      <c r="C2355" s="21"/>
      <c r="D2355" s="21"/>
      <c r="E2355" s="21"/>
      <c r="F2355" s="21"/>
      <c r="G2355" s="21"/>
      <c r="H2355" s="21"/>
      <c r="I2355" s="21"/>
      <c r="J2355" s="21"/>
      <c r="K2355" s="21"/>
      <c r="L2355" s="21"/>
      <c r="M2355" s="7"/>
      <c r="N2355" s="7"/>
      <c r="O2355" s="7"/>
      <c r="P2355" s="7"/>
      <c r="Q2355" s="7"/>
      <c r="R2355" s="7"/>
      <c r="S2355" s="7"/>
      <c r="T2355" s="7"/>
      <c r="U2355" s="7"/>
      <c r="V2355" s="7"/>
      <c r="W2355" s="7"/>
      <c r="X2355" s="7"/>
      <c r="Y2355" s="7"/>
      <c r="Z2355" s="7"/>
      <c r="AA2355" s="7"/>
      <c r="AB2355" s="7"/>
      <c r="AC2355" s="7"/>
      <c r="AD2355" s="7"/>
      <c r="AE2355" s="7"/>
    </row>
    <row r="2356">
      <c r="A2356" s="7"/>
      <c r="B2356" s="21"/>
      <c r="C2356" s="21"/>
      <c r="D2356" s="21"/>
      <c r="E2356" s="21"/>
      <c r="F2356" s="21"/>
      <c r="G2356" s="21"/>
      <c r="H2356" s="21"/>
      <c r="I2356" s="21"/>
      <c r="J2356" s="21"/>
      <c r="K2356" s="21"/>
      <c r="L2356" s="21"/>
      <c r="M2356" s="7"/>
      <c r="N2356" s="7"/>
      <c r="O2356" s="7"/>
      <c r="P2356" s="7"/>
      <c r="Q2356" s="7"/>
      <c r="R2356" s="7"/>
      <c r="S2356" s="7"/>
      <c r="T2356" s="7"/>
      <c r="U2356" s="7"/>
      <c r="V2356" s="7"/>
      <c r="W2356" s="7"/>
      <c r="X2356" s="7"/>
      <c r="Y2356" s="7"/>
      <c r="Z2356" s="7"/>
      <c r="AA2356" s="7"/>
      <c r="AB2356" s="7"/>
      <c r="AC2356" s="7"/>
      <c r="AD2356" s="7"/>
      <c r="AE2356" s="7"/>
    </row>
    <row r="2357">
      <c r="A2357" s="7"/>
      <c r="B2357" s="21"/>
      <c r="C2357" s="21"/>
      <c r="D2357" s="21"/>
      <c r="E2357" s="21"/>
      <c r="F2357" s="21"/>
      <c r="G2357" s="21"/>
      <c r="H2357" s="21"/>
      <c r="I2357" s="21"/>
      <c r="J2357" s="21"/>
      <c r="K2357" s="21"/>
      <c r="L2357" s="21"/>
      <c r="M2357" s="7"/>
      <c r="N2357" s="7"/>
      <c r="O2357" s="7"/>
      <c r="P2357" s="7"/>
      <c r="Q2357" s="7"/>
      <c r="R2357" s="7"/>
      <c r="S2357" s="7"/>
      <c r="T2357" s="7"/>
      <c r="U2357" s="7"/>
      <c r="V2357" s="7"/>
      <c r="W2357" s="7"/>
      <c r="X2357" s="7"/>
      <c r="Y2357" s="7"/>
      <c r="Z2357" s="7"/>
      <c r="AA2357" s="7"/>
      <c r="AB2357" s="7"/>
      <c r="AC2357" s="7"/>
      <c r="AD2357" s="7"/>
      <c r="AE2357" s="7"/>
    </row>
    <row r="2358">
      <c r="A2358" s="7"/>
      <c r="B2358" s="21"/>
      <c r="C2358" s="21"/>
      <c r="D2358" s="21"/>
      <c r="E2358" s="21"/>
      <c r="F2358" s="21"/>
      <c r="G2358" s="21"/>
      <c r="H2358" s="21"/>
      <c r="I2358" s="21"/>
      <c r="J2358" s="21"/>
      <c r="K2358" s="21"/>
      <c r="L2358" s="21"/>
      <c r="M2358" s="7"/>
      <c r="N2358" s="7"/>
      <c r="O2358" s="7"/>
      <c r="P2358" s="7"/>
      <c r="Q2358" s="7"/>
      <c r="R2358" s="7"/>
      <c r="S2358" s="7"/>
      <c r="T2358" s="7"/>
      <c r="U2358" s="7"/>
      <c r="V2358" s="7"/>
      <c r="W2358" s="7"/>
      <c r="X2358" s="7"/>
      <c r="Y2358" s="7"/>
      <c r="Z2358" s="7"/>
      <c r="AA2358" s="7"/>
      <c r="AB2358" s="7"/>
      <c r="AC2358" s="7"/>
      <c r="AD2358" s="7"/>
      <c r="AE2358" s="7"/>
    </row>
    <row r="2359">
      <c r="A2359" s="7"/>
      <c r="B2359" s="21"/>
      <c r="C2359" s="21"/>
      <c r="D2359" s="21"/>
      <c r="E2359" s="21"/>
      <c r="F2359" s="21"/>
      <c r="G2359" s="21"/>
      <c r="H2359" s="21"/>
      <c r="I2359" s="21"/>
      <c r="J2359" s="21"/>
      <c r="K2359" s="21"/>
      <c r="L2359" s="21"/>
      <c r="M2359" s="7"/>
      <c r="N2359" s="7"/>
      <c r="O2359" s="7"/>
      <c r="P2359" s="7"/>
      <c r="Q2359" s="7"/>
      <c r="R2359" s="7"/>
      <c r="S2359" s="7"/>
      <c r="T2359" s="7"/>
      <c r="U2359" s="7"/>
      <c r="V2359" s="7"/>
      <c r="W2359" s="7"/>
      <c r="X2359" s="7"/>
      <c r="Y2359" s="7"/>
      <c r="Z2359" s="7"/>
      <c r="AA2359" s="7"/>
      <c r="AB2359" s="7"/>
      <c r="AC2359" s="7"/>
      <c r="AD2359" s="7"/>
      <c r="AE2359" s="7"/>
    </row>
    <row r="2360">
      <c r="A2360" s="7"/>
      <c r="B2360" s="21"/>
      <c r="C2360" s="21"/>
      <c r="D2360" s="21"/>
      <c r="E2360" s="21"/>
      <c r="F2360" s="21"/>
      <c r="G2360" s="21"/>
      <c r="H2360" s="21"/>
      <c r="I2360" s="21"/>
      <c r="J2360" s="21"/>
      <c r="K2360" s="21"/>
      <c r="L2360" s="21"/>
      <c r="M2360" s="7"/>
      <c r="N2360" s="7"/>
      <c r="O2360" s="7"/>
      <c r="P2360" s="7"/>
      <c r="Q2360" s="7"/>
      <c r="R2360" s="7"/>
      <c r="S2360" s="7"/>
      <c r="T2360" s="7"/>
      <c r="U2360" s="7"/>
      <c r="V2360" s="7"/>
      <c r="W2360" s="7"/>
      <c r="X2360" s="7"/>
      <c r="Y2360" s="7"/>
      <c r="Z2360" s="7"/>
      <c r="AA2360" s="7"/>
      <c r="AB2360" s="7"/>
      <c r="AC2360" s="7"/>
      <c r="AD2360" s="7"/>
      <c r="AE2360" s="7"/>
    </row>
    <row r="2361">
      <c r="A2361" s="7"/>
      <c r="B2361" s="21"/>
      <c r="C2361" s="21"/>
      <c r="D2361" s="21"/>
      <c r="E2361" s="21"/>
      <c r="F2361" s="21"/>
      <c r="G2361" s="21"/>
      <c r="H2361" s="21"/>
      <c r="I2361" s="21"/>
      <c r="J2361" s="21"/>
      <c r="K2361" s="21"/>
      <c r="L2361" s="21"/>
      <c r="M2361" s="7"/>
      <c r="N2361" s="7"/>
      <c r="O2361" s="7"/>
      <c r="P2361" s="7"/>
      <c r="Q2361" s="7"/>
      <c r="R2361" s="7"/>
      <c r="S2361" s="7"/>
      <c r="T2361" s="7"/>
      <c r="U2361" s="7"/>
      <c r="V2361" s="7"/>
      <c r="W2361" s="7"/>
      <c r="X2361" s="7"/>
      <c r="Y2361" s="7"/>
      <c r="Z2361" s="7"/>
      <c r="AA2361" s="7"/>
      <c r="AB2361" s="7"/>
      <c r="AC2361" s="7"/>
      <c r="AD2361" s="7"/>
      <c r="AE2361" s="7"/>
    </row>
    <row r="2362">
      <c r="A2362" s="7"/>
      <c r="B2362" s="21"/>
      <c r="C2362" s="21"/>
      <c r="D2362" s="21"/>
      <c r="E2362" s="21"/>
      <c r="F2362" s="21"/>
      <c r="G2362" s="21"/>
      <c r="H2362" s="21"/>
      <c r="I2362" s="21"/>
      <c r="J2362" s="21"/>
      <c r="K2362" s="21"/>
      <c r="L2362" s="21"/>
      <c r="M2362" s="7"/>
      <c r="N2362" s="7"/>
      <c r="O2362" s="7"/>
      <c r="P2362" s="7"/>
      <c r="Q2362" s="7"/>
      <c r="R2362" s="7"/>
      <c r="S2362" s="7"/>
      <c r="T2362" s="7"/>
      <c r="U2362" s="7"/>
      <c r="V2362" s="7"/>
      <c r="W2362" s="7"/>
      <c r="X2362" s="7"/>
      <c r="Y2362" s="7"/>
      <c r="Z2362" s="7"/>
      <c r="AA2362" s="7"/>
      <c r="AB2362" s="7"/>
      <c r="AC2362" s="7"/>
      <c r="AD2362" s="7"/>
      <c r="AE2362" s="7"/>
    </row>
    <row r="2363">
      <c r="A2363" s="7"/>
      <c r="B2363" s="21"/>
      <c r="C2363" s="21"/>
      <c r="D2363" s="21"/>
      <c r="E2363" s="21"/>
      <c r="F2363" s="21"/>
      <c r="G2363" s="21"/>
      <c r="H2363" s="21"/>
      <c r="I2363" s="21"/>
      <c r="J2363" s="21"/>
      <c r="K2363" s="21"/>
      <c r="L2363" s="21"/>
      <c r="M2363" s="7"/>
      <c r="N2363" s="7"/>
      <c r="O2363" s="7"/>
      <c r="P2363" s="7"/>
      <c r="Q2363" s="7"/>
      <c r="R2363" s="7"/>
      <c r="S2363" s="7"/>
      <c r="T2363" s="7"/>
      <c r="U2363" s="7"/>
      <c r="V2363" s="7"/>
      <c r="W2363" s="7"/>
      <c r="X2363" s="7"/>
      <c r="Y2363" s="7"/>
      <c r="Z2363" s="7"/>
      <c r="AA2363" s="7"/>
      <c r="AB2363" s="7"/>
      <c r="AC2363" s="7"/>
      <c r="AD2363" s="7"/>
      <c r="AE2363" s="7"/>
    </row>
    <row r="2364">
      <c r="A2364" s="7"/>
      <c r="B2364" s="21"/>
      <c r="C2364" s="21"/>
      <c r="D2364" s="21"/>
      <c r="E2364" s="21"/>
      <c r="F2364" s="21"/>
      <c r="G2364" s="21"/>
      <c r="H2364" s="21"/>
      <c r="I2364" s="21"/>
      <c r="J2364" s="21"/>
      <c r="K2364" s="21"/>
      <c r="L2364" s="21"/>
      <c r="M2364" s="7"/>
      <c r="N2364" s="7"/>
      <c r="O2364" s="7"/>
      <c r="P2364" s="7"/>
      <c r="Q2364" s="7"/>
      <c r="R2364" s="7"/>
      <c r="S2364" s="7"/>
      <c r="T2364" s="7"/>
      <c r="U2364" s="7"/>
      <c r="V2364" s="7"/>
      <c r="W2364" s="7"/>
      <c r="X2364" s="7"/>
      <c r="Y2364" s="7"/>
      <c r="Z2364" s="7"/>
      <c r="AA2364" s="7"/>
      <c r="AB2364" s="7"/>
      <c r="AC2364" s="7"/>
      <c r="AD2364" s="7"/>
      <c r="AE2364" s="7"/>
    </row>
    <row r="2365">
      <c r="A2365" s="7"/>
      <c r="B2365" s="21"/>
      <c r="C2365" s="21"/>
      <c r="D2365" s="21"/>
      <c r="E2365" s="21"/>
      <c r="F2365" s="21"/>
      <c r="G2365" s="21"/>
      <c r="H2365" s="21"/>
      <c r="I2365" s="21"/>
      <c r="J2365" s="21"/>
      <c r="K2365" s="21"/>
      <c r="L2365" s="21"/>
      <c r="M2365" s="7"/>
      <c r="N2365" s="7"/>
      <c r="O2365" s="7"/>
      <c r="P2365" s="7"/>
      <c r="Q2365" s="7"/>
      <c r="R2365" s="7"/>
      <c r="S2365" s="7"/>
      <c r="T2365" s="7"/>
      <c r="U2365" s="7"/>
      <c r="V2365" s="7"/>
      <c r="W2365" s="7"/>
      <c r="X2365" s="7"/>
      <c r="Y2365" s="7"/>
      <c r="Z2365" s="7"/>
      <c r="AA2365" s="7"/>
      <c r="AB2365" s="7"/>
      <c r="AC2365" s="7"/>
      <c r="AD2365" s="7"/>
      <c r="AE2365" s="7"/>
    </row>
    <row r="2366">
      <c r="A2366" s="7"/>
      <c r="B2366" s="21"/>
      <c r="C2366" s="21"/>
      <c r="D2366" s="21"/>
      <c r="E2366" s="21"/>
      <c r="F2366" s="21"/>
      <c r="G2366" s="21"/>
      <c r="H2366" s="21"/>
      <c r="I2366" s="21"/>
      <c r="J2366" s="21"/>
      <c r="K2366" s="21"/>
      <c r="L2366" s="21"/>
      <c r="M2366" s="7"/>
      <c r="N2366" s="7"/>
      <c r="O2366" s="7"/>
      <c r="P2366" s="7"/>
      <c r="Q2366" s="7"/>
      <c r="R2366" s="7"/>
      <c r="S2366" s="7"/>
      <c r="T2366" s="7"/>
      <c r="U2366" s="7"/>
      <c r="V2366" s="7"/>
      <c r="W2366" s="7"/>
      <c r="X2366" s="7"/>
      <c r="Y2366" s="7"/>
      <c r="Z2366" s="7"/>
      <c r="AA2366" s="7"/>
      <c r="AB2366" s="7"/>
      <c r="AC2366" s="7"/>
      <c r="AD2366" s="7"/>
      <c r="AE2366" s="7"/>
    </row>
    <row r="2367">
      <c r="A2367" s="7"/>
      <c r="B2367" s="21"/>
      <c r="C2367" s="21"/>
      <c r="D2367" s="21"/>
      <c r="E2367" s="21"/>
      <c r="F2367" s="21"/>
      <c r="G2367" s="21"/>
      <c r="H2367" s="21"/>
      <c r="I2367" s="21"/>
      <c r="J2367" s="21"/>
      <c r="K2367" s="21"/>
      <c r="L2367" s="21"/>
      <c r="M2367" s="7"/>
      <c r="N2367" s="7"/>
      <c r="O2367" s="7"/>
      <c r="P2367" s="7"/>
      <c r="Q2367" s="7"/>
      <c r="R2367" s="7"/>
      <c r="S2367" s="7"/>
      <c r="T2367" s="7"/>
      <c r="U2367" s="7"/>
      <c r="V2367" s="7"/>
      <c r="W2367" s="7"/>
      <c r="X2367" s="7"/>
      <c r="Y2367" s="7"/>
      <c r="Z2367" s="7"/>
      <c r="AA2367" s="7"/>
      <c r="AB2367" s="7"/>
      <c r="AC2367" s="7"/>
      <c r="AD2367" s="7"/>
      <c r="AE2367" s="7"/>
    </row>
    <row r="2368">
      <c r="A2368" s="7"/>
      <c r="B2368" s="21"/>
      <c r="C2368" s="21"/>
      <c r="D2368" s="21"/>
      <c r="E2368" s="21"/>
      <c r="F2368" s="21"/>
      <c r="G2368" s="21"/>
      <c r="H2368" s="21"/>
      <c r="I2368" s="21"/>
      <c r="J2368" s="21"/>
      <c r="K2368" s="21"/>
      <c r="L2368" s="21"/>
      <c r="M2368" s="7"/>
      <c r="N2368" s="7"/>
      <c r="O2368" s="7"/>
      <c r="P2368" s="7"/>
      <c r="Q2368" s="7"/>
      <c r="R2368" s="7"/>
      <c r="S2368" s="7"/>
      <c r="T2368" s="7"/>
      <c r="U2368" s="7"/>
      <c r="V2368" s="7"/>
      <c r="W2368" s="7"/>
      <c r="X2368" s="7"/>
      <c r="Y2368" s="7"/>
      <c r="Z2368" s="7"/>
      <c r="AA2368" s="7"/>
      <c r="AB2368" s="7"/>
      <c r="AC2368" s="7"/>
      <c r="AD2368" s="7"/>
      <c r="AE2368" s="7"/>
    </row>
    <row r="2369">
      <c r="A2369" s="7"/>
      <c r="B2369" s="21"/>
      <c r="C2369" s="21"/>
      <c r="D2369" s="21"/>
      <c r="E2369" s="21"/>
      <c r="F2369" s="21"/>
      <c r="G2369" s="21"/>
      <c r="H2369" s="21"/>
      <c r="I2369" s="21"/>
      <c r="J2369" s="21"/>
      <c r="K2369" s="21"/>
      <c r="L2369" s="21"/>
      <c r="M2369" s="7"/>
      <c r="N2369" s="7"/>
      <c r="O2369" s="7"/>
      <c r="P2369" s="7"/>
      <c r="Q2369" s="7"/>
      <c r="R2369" s="7"/>
      <c r="S2369" s="7"/>
      <c r="T2369" s="7"/>
      <c r="U2369" s="7"/>
      <c r="V2369" s="7"/>
      <c r="W2369" s="7"/>
      <c r="X2369" s="7"/>
      <c r="Y2369" s="7"/>
      <c r="Z2369" s="7"/>
      <c r="AA2369" s="7"/>
      <c r="AB2369" s="7"/>
      <c r="AC2369" s="7"/>
      <c r="AD2369" s="7"/>
      <c r="AE2369" s="7"/>
    </row>
    <row r="2370">
      <c r="A2370" s="7"/>
      <c r="B2370" s="21"/>
      <c r="C2370" s="21"/>
      <c r="D2370" s="21"/>
      <c r="E2370" s="21"/>
      <c r="F2370" s="21"/>
      <c r="G2370" s="21"/>
      <c r="H2370" s="21"/>
      <c r="I2370" s="21"/>
      <c r="J2370" s="21"/>
      <c r="K2370" s="21"/>
      <c r="L2370" s="21"/>
      <c r="M2370" s="7"/>
      <c r="N2370" s="7"/>
      <c r="O2370" s="7"/>
      <c r="P2370" s="7"/>
      <c r="Q2370" s="7"/>
      <c r="R2370" s="7"/>
      <c r="S2370" s="7"/>
      <c r="T2370" s="7"/>
      <c r="U2370" s="7"/>
      <c r="V2370" s="7"/>
      <c r="W2370" s="7"/>
      <c r="X2370" s="7"/>
      <c r="Y2370" s="7"/>
      <c r="Z2370" s="7"/>
      <c r="AA2370" s="7"/>
      <c r="AB2370" s="7"/>
      <c r="AC2370" s="7"/>
      <c r="AD2370" s="7"/>
      <c r="AE2370" s="7"/>
    </row>
    <row r="2371">
      <c r="A2371" s="7"/>
      <c r="B2371" s="21"/>
      <c r="C2371" s="21"/>
      <c r="D2371" s="21"/>
      <c r="E2371" s="21"/>
      <c r="F2371" s="21"/>
      <c r="G2371" s="21"/>
      <c r="H2371" s="21"/>
      <c r="I2371" s="21"/>
      <c r="J2371" s="21"/>
      <c r="K2371" s="21"/>
      <c r="L2371" s="21"/>
      <c r="M2371" s="7"/>
      <c r="N2371" s="7"/>
      <c r="O2371" s="7"/>
      <c r="P2371" s="7"/>
      <c r="Q2371" s="7"/>
      <c r="R2371" s="7"/>
      <c r="S2371" s="7"/>
      <c r="T2371" s="7"/>
      <c r="U2371" s="7"/>
      <c r="V2371" s="7"/>
      <c r="W2371" s="7"/>
      <c r="X2371" s="7"/>
      <c r="Y2371" s="7"/>
      <c r="Z2371" s="7"/>
      <c r="AA2371" s="7"/>
      <c r="AB2371" s="7"/>
      <c r="AC2371" s="7"/>
      <c r="AD2371" s="7"/>
      <c r="AE2371" s="7"/>
    </row>
    <row r="2372">
      <c r="A2372" s="7"/>
      <c r="B2372" s="21"/>
      <c r="C2372" s="21"/>
      <c r="D2372" s="21"/>
      <c r="E2372" s="21"/>
      <c r="F2372" s="21"/>
      <c r="G2372" s="21"/>
      <c r="H2372" s="21"/>
      <c r="I2372" s="21"/>
      <c r="J2372" s="21"/>
      <c r="K2372" s="21"/>
      <c r="L2372" s="21"/>
      <c r="M2372" s="7"/>
      <c r="N2372" s="7"/>
      <c r="O2372" s="7"/>
      <c r="P2372" s="7"/>
      <c r="Q2372" s="7"/>
      <c r="R2372" s="7"/>
      <c r="S2372" s="7"/>
      <c r="T2372" s="7"/>
      <c r="U2372" s="7"/>
      <c r="V2372" s="7"/>
      <c r="W2372" s="7"/>
      <c r="X2372" s="7"/>
      <c r="Y2372" s="7"/>
      <c r="Z2372" s="7"/>
      <c r="AA2372" s="7"/>
      <c r="AB2372" s="7"/>
      <c r="AC2372" s="7"/>
      <c r="AD2372" s="7"/>
      <c r="AE2372" s="7"/>
    </row>
    <row r="2373">
      <c r="A2373" s="7"/>
      <c r="B2373" s="21"/>
      <c r="C2373" s="21"/>
      <c r="D2373" s="21"/>
      <c r="E2373" s="21"/>
      <c r="F2373" s="21"/>
      <c r="G2373" s="21"/>
      <c r="H2373" s="21"/>
      <c r="I2373" s="21"/>
      <c r="J2373" s="21"/>
      <c r="K2373" s="21"/>
      <c r="L2373" s="21"/>
      <c r="M2373" s="7"/>
      <c r="N2373" s="7"/>
      <c r="O2373" s="7"/>
      <c r="P2373" s="7"/>
      <c r="Q2373" s="7"/>
      <c r="R2373" s="7"/>
      <c r="S2373" s="7"/>
      <c r="T2373" s="7"/>
      <c r="U2373" s="7"/>
      <c r="V2373" s="7"/>
      <c r="W2373" s="7"/>
      <c r="X2373" s="7"/>
      <c r="Y2373" s="7"/>
      <c r="Z2373" s="7"/>
      <c r="AA2373" s="7"/>
      <c r="AB2373" s="7"/>
      <c r="AC2373" s="7"/>
      <c r="AD2373" s="7"/>
      <c r="AE2373" s="7"/>
    </row>
    <row r="2374">
      <c r="A2374" s="7"/>
      <c r="B2374" s="21"/>
      <c r="C2374" s="21"/>
      <c r="D2374" s="21"/>
      <c r="E2374" s="21"/>
      <c r="F2374" s="21"/>
      <c r="G2374" s="21"/>
      <c r="H2374" s="21"/>
      <c r="I2374" s="21"/>
      <c r="J2374" s="21"/>
      <c r="K2374" s="21"/>
      <c r="L2374" s="21"/>
      <c r="M2374" s="7"/>
      <c r="N2374" s="7"/>
      <c r="O2374" s="7"/>
      <c r="P2374" s="7"/>
      <c r="Q2374" s="7"/>
      <c r="R2374" s="7"/>
      <c r="S2374" s="7"/>
      <c r="T2374" s="7"/>
      <c r="U2374" s="7"/>
      <c r="V2374" s="7"/>
      <c r="W2374" s="7"/>
      <c r="X2374" s="7"/>
      <c r="Y2374" s="7"/>
      <c r="Z2374" s="7"/>
      <c r="AA2374" s="7"/>
      <c r="AB2374" s="7"/>
      <c r="AC2374" s="7"/>
      <c r="AD2374" s="7"/>
      <c r="AE2374" s="7"/>
    </row>
    <row r="2375">
      <c r="A2375" s="7"/>
      <c r="B2375" s="21"/>
      <c r="C2375" s="21"/>
      <c r="D2375" s="21"/>
      <c r="E2375" s="21"/>
      <c r="F2375" s="21"/>
      <c r="G2375" s="21"/>
      <c r="H2375" s="21"/>
      <c r="I2375" s="21"/>
      <c r="J2375" s="21"/>
      <c r="K2375" s="21"/>
      <c r="L2375" s="21"/>
      <c r="M2375" s="7"/>
      <c r="N2375" s="7"/>
      <c r="O2375" s="7"/>
      <c r="P2375" s="7"/>
      <c r="Q2375" s="7"/>
      <c r="R2375" s="7"/>
      <c r="S2375" s="7"/>
      <c r="T2375" s="7"/>
      <c r="U2375" s="7"/>
      <c r="V2375" s="7"/>
      <c r="W2375" s="7"/>
      <c r="X2375" s="7"/>
      <c r="Y2375" s="7"/>
      <c r="Z2375" s="7"/>
      <c r="AA2375" s="7"/>
      <c r="AB2375" s="7"/>
      <c r="AC2375" s="7"/>
      <c r="AD2375" s="7"/>
      <c r="AE2375" s="7"/>
    </row>
    <row r="2376">
      <c r="A2376" s="7"/>
      <c r="B2376" s="21"/>
      <c r="C2376" s="21"/>
      <c r="D2376" s="21"/>
      <c r="E2376" s="21"/>
      <c r="F2376" s="21"/>
      <c r="G2376" s="21"/>
      <c r="H2376" s="21"/>
      <c r="I2376" s="21"/>
      <c r="J2376" s="21"/>
      <c r="K2376" s="21"/>
      <c r="L2376" s="21"/>
      <c r="M2376" s="7"/>
      <c r="N2376" s="7"/>
      <c r="O2376" s="7"/>
      <c r="P2376" s="7"/>
      <c r="Q2376" s="7"/>
      <c r="R2376" s="7"/>
      <c r="S2376" s="7"/>
      <c r="T2376" s="7"/>
      <c r="U2376" s="7"/>
      <c r="V2376" s="7"/>
      <c r="W2376" s="7"/>
      <c r="X2376" s="7"/>
      <c r="Y2376" s="7"/>
      <c r="Z2376" s="7"/>
      <c r="AA2376" s="7"/>
      <c r="AB2376" s="7"/>
      <c r="AC2376" s="7"/>
      <c r="AD2376" s="7"/>
      <c r="AE2376" s="7"/>
    </row>
    <row r="2377">
      <c r="A2377" s="7"/>
      <c r="B2377" s="21"/>
      <c r="C2377" s="21"/>
      <c r="D2377" s="21"/>
      <c r="E2377" s="21"/>
      <c r="F2377" s="21"/>
      <c r="G2377" s="21"/>
      <c r="H2377" s="21"/>
      <c r="I2377" s="21"/>
      <c r="J2377" s="21"/>
      <c r="K2377" s="21"/>
      <c r="L2377" s="21"/>
      <c r="M2377" s="7"/>
      <c r="N2377" s="7"/>
      <c r="O2377" s="7"/>
      <c r="P2377" s="7"/>
      <c r="Q2377" s="7"/>
      <c r="R2377" s="7"/>
      <c r="S2377" s="7"/>
      <c r="T2377" s="7"/>
      <c r="U2377" s="7"/>
      <c r="V2377" s="7"/>
      <c r="W2377" s="7"/>
      <c r="X2377" s="7"/>
      <c r="Y2377" s="7"/>
      <c r="Z2377" s="7"/>
      <c r="AA2377" s="7"/>
      <c r="AB2377" s="7"/>
      <c r="AC2377" s="7"/>
      <c r="AD2377" s="7"/>
      <c r="AE2377" s="7"/>
    </row>
    <row r="2378">
      <c r="A2378" s="7"/>
      <c r="B2378" s="21"/>
      <c r="C2378" s="21"/>
      <c r="D2378" s="21"/>
      <c r="E2378" s="21"/>
      <c r="F2378" s="21"/>
      <c r="G2378" s="21"/>
      <c r="H2378" s="21"/>
      <c r="I2378" s="21"/>
      <c r="J2378" s="21"/>
      <c r="K2378" s="21"/>
      <c r="L2378" s="21"/>
      <c r="M2378" s="7"/>
      <c r="N2378" s="7"/>
      <c r="O2378" s="7"/>
      <c r="P2378" s="7"/>
      <c r="Q2378" s="7"/>
      <c r="R2378" s="7"/>
      <c r="S2378" s="7"/>
      <c r="T2378" s="7"/>
      <c r="U2378" s="7"/>
      <c r="V2378" s="7"/>
      <c r="W2378" s="7"/>
      <c r="X2378" s="7"/>
      <c r="Y2378" s="7"/>
      <c r="Z2378" s="7"/>
      <c r="AA2378" s="7"/>
      <c r="AB2378" s="7"/>
      <c r="AC2378" s="7"/>
      <c r="AD2378" s="7"/>
      <c r="AE2378" s="7"/>
    </row>
    <row r="2379">
      <c r="A2379" s="7"/>
      <c r="B2379" s="21"/>
      <c r="C2379" s="21"/>
      <c r="D2379" s="21"/>
      <c r="E2379" s="21"/>
      <c r="F2379" s="21"/>
      <c r="G2379" s="21"/>
      <c r="H2379" s="21"/>
      <c r="I2379" s="21"/>
      <c r="J2379" s="21"/>
      <c r="K2379" s="21"/>
      <c r="L2379" s="21"/>
      <c r="M2379" s="7"/>
      <c r="N2379" s="7"/>
      <c r="O2379" s="7"/>
      <c r="P2379" s="7"/>
      <c r="Q2379" s="7"/>
      <c r="R2379" s="7"/>
      <c r="S2379" s="7"/>
      <c r="T2379" s="7"/>
      <c r="U2379" s="7"/>
      <c r="V2379" s="7"/>
      <c r="W2379" s="7"/>
      <c r="X2379" s="7"/>
      <c r="Y2379" s="7"/>
      <c r="Z2379" s="7"/>
      <c r="AA2379" s="7"/>
      <c r="AB2379" s="7"/>
      <c r="AC2379" s="7"/>
      <c r="AD2379" s="7"/>
      <c r="AE2379" s="7"/>
    </row>
    <row r="2380">
      <c r="A2380" s="7"/>
      <c r="B2380" s="21"/>
      <c r="C2380" s="21"/>
      <c r="D2380" s="21"/>
      <c r="E2380" s="21"/>
      <c r="F2380" s="21"/>
      <c r="G2380" s="21"/>
      <c r="H2380" s="21"/>
      <c r="I2380" s="21"/>
      <c r="J2380" s="21"/>
      <c r="K2380" s="21"/>
      <c r="L2380" s="21"/>
      <c r="M2380" s="7"/>
      <c r="N2380" s="7"/>
      <c r="O2380" s="7"/>
      <c r="P2380" s="7"/>
      <c r="Q2380" s="7"/>
      <c r="R2380" s="7"/>
      <c r="S2380" s="7"/>
      <c r="T2380" s="7"/>
      <c r="U2380" s="7"/>
      <c r="V2380" s="7"/>
      <c r="W2380" s="7"/>
      <c r="X2380" s="7"/>
      <c r="Y2380" s="7"/>
      <c r="Z2380" s="7"/>
      <c r="AA2380" s="7"/>
      <c r="AB2380" s="7"/>
      <c r="AC2380" s="7"/>
      <c r="AD2380" s="7"/>
      <c r="AE2380" s="7"/>
    </row>
    <row r="2381">
      <c r="A2381" s="7"/>
      <c r="B2381" s="21"/>
      <c r="C2381" s="21"/>
      <c r="D2381" s="21"/>
      <c r="E2381" s="21"/>
      <c r="F2381" s="21"/>
      <c r="G2381" s="21"/>
      <c r="H2381" s="21"/>
      <c r="I2381" s="21"/>
      <c r="J2381" s="21"/>
      <c r="K2381" s="21"/>
      <c r="L2381" s="21"/>
      <c r="M2381" s="7"/>
      <c r="N2381" s="7"/>
      <c r="O2381" s="7"/>
      <c r="P2381" s="7"/>
      <c r="Q2381" s="7"/>
      <c r="R2381" s="7"/>
      <c r="S2381" s="7"/>
      <c r="T2381" s="7"/>
      <c r="U2381" s="7"/>
      <c r="V2381" s="7"/>
      <c r="W2381" s="7"/>
      <c r="X2381" s="7"/>
      <c r="Y2381" s="7"/>
      <c r="Z2381" s="7"/>
      <c r="AA2381" s="7"/>
      <c r="AB2381" s="7"/>
      <c r="AC2381" s="7"/>
      <c r="AD2381" s="7"/>
      <c r="AE2381" s="7"/>
    </row>
    <row r="2382">
      <c r="A2382" s="7"/>
      <c r="B2382" s="21"/>
      <c r="C2382" s="21"/>
      <c r="D2382" s="21"/>
      <c r="E2382" s="21"/>
      <c r="F2382" s="21"/>
      <c r="G2382" s="21"/>
      <c r="H2382" s="21"/>
      <c r="I2382" s="21"/>
      <c r="J2382" s="21"/>
      <c r="K2382" s="21"/>
      <c r="L2382" s="21"/>
      <c r="M2382" s="7"/>
      <c r="N2382" s="7"/>
      <c r="O2382" s="7"/>
      <c r="P2382" s="7"/>
      <c r="Q2382" s="7"/>
      <c r="R2382" s="7"/>
      <c r="S2382" s="7"/>
      <c r="T2382" s="7"/>
      <c r="U2382" s="7"/>
      <c r="V2382" s="7"/>
      <c r="W2382" s="7"/>
      <c r="X2382" s="7"/>
      <c r="Y2382" s="7"/>
      <c r="Z2382" s="7"/>
      <c r="AA2382" s="7"/>
      <c r="AB2382" s="7"/>
      <c r="AC2382" s="7"/>
      <c r="AD2382" s="7"/>
      <c r="AE2382" s="7"/>
    </row>
    <row r="2383">
      <c r="A2383" s="7"/>
      <c r="B2383" s="21"/>
      <c r="C2383" s="21"/>
      <c r="D2383" s="21"/>
      <c r="E2383" s="21"/>
      <c r="F2383" s="21"/>
      <c r="G2383" s="21"/>
      <c r="H2383" s="21"/>
      <c r="I2383" s="21"/>
      <c r="J2383" s="21"/>
      <c r="K2383" s="21"/>
      <c r="L2383" s="21"/>
      <c r="M2383" s="7"/>
      <c r="N2383" s="7"/>
      <c r="O2383" s="7"/>
      <c r="P2383" s="7"/>
      <c r="Q2383" s="7"/>
      <c r="R2383" s="7"/>
      <c r="S2383" s="7"/>
      <c r="T2383" s="7"/>
      <c r="U2383" s="7"/>
      <c r="V2383" s="7"/>
      <c r="W2383" s="7"/>
      <c r="X2383" s="7"/>
      <c r="Y2383" s="7"/>
      <c r="Z2383" s="7"/>
      <c r="AA2383" s="7"/>
      <c r="AB2383" s="7"/>
      <c r="AC2383" s="7"/>
      <c r="AD2383" s="7"/>
      <c r="AE2383" s="7"/>
    </row>
    <row r="2384">
      <c r="A2384" s="7"/>
      <c r="B2384" s="21"/>
      <c r="C2384" s="21"/>
      <c r="D2384" s="21"/>
      <c r="E2384" s="21"/>
      <c r="F2384" s="21"/>
      <c r="G2384" s="21"/>
      <c r="H2384" s="21"/>
      <c r="I2384" s="21"/>
      <c r="J2384" s="21"/>
      <c r="K2384" s="21"/>
      <c r="L2384" s="21"/>
      <c r="M2384" s="7"/>
      <c r="N2384" s="7"/>
      <c r="O2384" s="7"/>
      <c r="P2384" s="7"/>
      <c r="Q2384" s="7"/>
      <c r="R2384" s="7"/>
      <c r="S2384" s="7"/>
      <c r="T2384" s="7"/>
      <c r="U2384" s="7"/>
      <c r="V2384" s="7"/>
      <c r="W2384" s="7"/>
      <c r="X2384" s="7"/>
      <c r="Y2384" s="7"/>
      <c r="Z2384" s="7"/>
      <c r="AA2384" s="7"/>
      <c r="AB2384" s="7"/>
      <c r="AC2384" s="7"/>
      <c r="AD2384" s="7"/>
      <c r="AE2384" s="7"/>
    </row>
    <row r="2385">
      <c r="A2385" s="7"/>
      <c r="B2385" s="21"/>
      <c r="C2385" s="21"/>
      <c r="D2385" s="21"/>
      <c r="E2385" s="21"/>
      <c r="F2385" s="21"/>
      <c r="G2385" s="21"/>
      <c r="H2385" s="21"/>
      <c r="I2385" s="21"/>
      <c r="J2385" s="21"/>
      <c r="K2385" s="21"/>
      <c r="L2385" s="21"/>
      <c r="M2385" s="7"/>
      <c r="N2385" s="7"/>
      <c r="O2385" s="7"/>
      <c r="P2385" s="7"/>
      <c r="Q2385" s="7"/>
      <c r="R2385" s="7"/>
      <c r="S2385" s="7"/>
      <c r="T2385" s="7"/>
      <c r="U2385" s="7"/>
      <c r="V2385" s="7"/>
      <c r="W2385" s="7"/>
      <c r="X2385" s="7"/>
      <c r="Y2385" s="7"/>
      <c r="Z2385" s="7"/>
      <c r="AA2385" s="7"/>
      <c r="AB2385" s="7"/>
      <c r="AC2385" s="7"/>
      <c r="AD2385" s="7"/>
      <c r="AE2385" s="7"/>
    </row>
    <row r="2386">
      <c r="A2386" s="7"/>
      <c r="B2386" s="21"/>
      <c r="C2386" s="21"/>
      <c r="D2386" s="21"/>
      <c r="E2386" s="21"/>
      <c r="F2386" s="21"/>
      <c r="G2386" s="21"/>
      <c r="H2386" s="21"/>
      <c r="I2386" s="21"/>
      <c r="J2386" s="21"/>
      <c r="K2386" s="21"/>
      <c r="L2386" s="21"/>
      <c r="M2386" s="7"/>
      <c r="N2386" s="7"/>
      <c r="O2386" s="7"/>
      <c r="P2386" s="7"/>
      <c r="Q2386" s="7"/>
      <c r="R2386" s="7"/>
      <c r="S2386" s="7"/>
      <c r="T2386" s="7"/>
      <c r="U2386" s="7"/>
      <c r="V2386" s="7"/>
      <c r="W2386" s="7"/>
      <c r="X2386" s="7"/>
      <c r="Y2386" s="7"/>
      <c r="Z2386" s="7"/>
      <c r="AA2386" s="7"/>
      <c r="AB2386" s="7"/>
      <c r="AC2386" s="7"/>
      <c r="AD2386" s="7"/>
      <c r="AE2386" s="7"/>
    </row>
    <row r="2387">
      <c r="A2387" s="7"/>
      <c r="B2387" s="21"/>
      <c r="C2387" s="21"/>
      <c r="D2387" s="21"/>
      <c r="E2387" s="21"/>
      <c r="F2387" s="21"/>
      <c r="G2387" s="21"/>
      <c r="H2387" s="21"/>
      <c r="I2387" s="21"/>
      <c r="J2387" s="21"/>
      <c r="K2387" s="21"/>
      <c r="L2387" s="21"/>
      <c r="M2387" s="7"/>
      <c r="N2387" s="7"/>
      <c r="O2387" s="7"/>
      <c r="P2387" s="7"/>
      <c r="Q2387" s="7"/>
      <c r="R2387" s="7"/>
      <c r="S2387" s="7"/>
      <c r="T2387" s="7"/>
      <c r="U2387" s="7"/>
      <c r="V2387" s="7"/>
      <c r="W2387" s="7"/>
      <c r="X2387" s="7"/>
      <c r="Y2387" s="7"/>
      <c r="Z2387" s="7"/>
      <c r="AA2387" s="7"/>
      <c r="AB2387" s="7"/>
      <c r="AC2387" s="7"/>
      <c r="AD2387" s="7"/>
      <c r="AE2387" s="7"/>
    </row>
    <row r="2388">
      <c r="A2388" s="7"/>
      <c r="B2388" s="21"/>
      <c r="C2388" s="21"/>
      <c r="D2388" s="21"/>
      <c r="E2388" s="21"/>
      <c r="F2388" s="21"/>
      <c r="G2388" s="21"/>
      <c r="H2388" s="21"/>
      <c r="I2388" s="21"/>
      <c r="J2388" s="21"/>
      <c r="K2388" s="21"/>
      <c r="L2388" s="21"/>
      <c r="M2388" s="7"/>
      <c r="N2388" s="7"/>
      <c r="O2388" s="7"/>
      <c r="P2388" s="7"/>
      <c r="Q2388" s="7"/>
      <c r="R2388" s="7"/>
      <c r="S2388" s="7"/>
      <c r="T2388" s="7"/>
      <c r="U2388" s="7"/>
      <c r="V2388" s="7"/>
      <c r="W2388" s="7"/>
      <c r="X2388" s="7"/>
      <c r="Y2388" s="7"/>
      <c r="Z2388" s="7"/>
      <c r="AA2388" s="7"/>
      <c r="AB2388" s="7"/>
      <c r="AC2388" s="7"/>
      <c r="AD2388" s="7"/>
      <c r="AE2388" s="7"/>
    </row>
    <row r="2389">
      <c r="A2389" s="7"/>
      <c r="B2389" s="21"/>
      <c r="C2389" s="21"/>
      <c r="D2389" s="21"/>
      <c r="E2389" s="21"/>
      <c r="F2389" s="21"/>
      <c r="G2389" s="21"/>
      <c r="H2389" s="21"/>
      <c r="I2389" s="21"/>
      <c r="J2389" s="21"/>
      <c r="K2389" s="21"/>
      <c r="L2389" s="21"/>
      <c r="M2389" s="7"/>
      <c r="N2389" s="7"/>
      <c r="O2389" s="7"/>
      <c r="P2389" s="7"/>
      <c r="Q2389" s="7"/>
      <c r="R2389" s="7"/>
      <c r="S2389" s="7"/>
      <c r="T2389" s="7"/>
      <c r="U2389" s="7"/>
      <c r="V2389" s="7"/>
      <c r="W2389" s="7"/>
      <c r="X2389" s="7"/>
      <c r="Y2389" s="7"/>
      <c r="Z2389" s="7"/>
      <c r="AA2389" s="7"/>
      <c r="AB2389" s="7"/>
      <c r="AC2389" s="7"/>
      <c r="AD2389" s="7"/>
      <c r="AE2389" s="7"/>
    </row>
    <row r="2390">
      <c r="A2390" s="7"/>
      <c r="B2390" s="21"/>
      <c r="C2390" s="21"/>
      <c r="D2390" s="21"/>
      <c r="E2390" s="21"/>
      <c r="F2390" s="21"/>
      <c r="G2390" s="21"/>
      <c r="H2390" s="21"/>
      <c r="I2390" s="21"/>
      <c r="J2390" s="21"/>
      <c r="K2390" s="21"/>
      <c r="L2390" s="21"/>
      <c r="M2390" s="7"/>
      <c r="N2390" s="7"/>
      <c r="O2390" s="7"/>
      <c r="P2390" s="7"/>
      <c r="Q2390" s="7"/>
      <c r="R2390" s="7"/>
      <c r="S2390" s="7"/>
      <c r="T2390" s="7"/>
      <c r="U2390" s="7"/>
      <c r="V2390" s="7"/>
      <c r="W2390" s="7"/>
      <c r="X2390" s="7"/>
      <c r="Y2390" s="7"/>
      <c r="Z2390" s="7"/>
      <c r="AA2390" s="7"/>
      <c r="AB2390" s="7"/>
      <c r="AC2390" s="7"/>
      <c r="AD2390" s="7"/>
      <c r="AE2390" s="7"/>
    </row>
    <row r="2391">
      <c r="A2391" s="7"/>
      <c r="B2391" s="21"/>
      <c r="C2391" s="21"/>
      <c r="D2391" s="21"/>
      <c r="E2391" s="21"/>
      <c r="F2391" s="21"/>
      <c r="G2391" s="21"/>
      <c r="H2391" s="21"/>
      <c r="I2391" s="21"/>
      <c r="J2391" s="21"/>
      <c r="K2391" s="21"/>
      <c r="L2391" s="21"/>
      <c r="M2391" s="7"/>
      <c r="N2391" s="7"/>
      <c r="O2391" s="7"/>
      <c r="P2391" s="7"/>
      <c r="Q2391" s="7"/>
      <c r="R2391" s="7"/>
      <c r="S2391" s="7"/>
      <c r="T2391" s="7"/>
      <c r="U2391" s="7"/>
      <c r="V2391" s="7"/>
      <c r="W2391" s="7"/>
      <c r="X2391" s="7"/>
      <c r="Y2391" s="7"/>
      <c r="Z2391" s="7"/>
      <c r="AA2391" s="7"/>
      <c r="AB2391" s="7"/>
      <c r="AC2391" s="7"/>
      <c r="AD2391" s="7"/>
      <c r="AE2391" s="7"/>
    </row>
    <row r="2392">
      <c r="A2392" s="7"/>
      <c r="B2392" s="21"/>
      <c r="C2392" s="21"/>
      <c r="D2392" s="21"/>
      <c r="E2392" s="21"/>
      <c r="F2392" s="21"/>
      <c r="G2392" s="21"/>
      <c r="H2392" s="21"/>
      <c r="I2392" s="21"/>
      <c r="J2392" s="21"/>
      <c r="K2392" s="21"/>
      <c r="L2392" s="21"/>
      <c r="M2392" s="7"/>
      <c r="N2392" s="7"/>
      <c r="O2392" s="7"/>
      <c r="P2392" s="7"/>
      <c r="Q2392" s="7"/>
      <c r="R2392" s="7"/>
      <c r="S2392" s="7"/>
      <c r="T2392" s="7"/>
      <c r="U2392" s="7"/>
      <c r="V2392" s="7"/>
      <c r="W2392" s="7"/>
      <c r="X2392" s="7"/>
      <c r="Y2392" s="7"/>
      <c r="Z2392" s="7"/>
      <c r="AA2392" s="7"/>
      <c r="AB2392" s="7"/>
      <c r="AC2392" s="7"/>
      <c r="AD2392" s="7"/>
      <c r="AE2392" s="7"/>
    </row>
    <row r="2393">
      <c r="A2393" s="7"/>
      <c r="B2393" s="21"/>
      <c r="C2393" s="21"/>
      <c r="D2393" s="21"/>
      <c r="E2393" s="21"/>
      <c r="F2393" s="21"/>
      <c r="G2393" s="21"/>
      <c r="H2393" s="21"/>
      <c r="I2393" s="21"/>
      <c r="J2393" s="21"/>
      <c r="K2393" s="21"/>
      <c r="L2393" s="21"/>
      <c r="M2393" s="7"/>
      <c r="N2393" s="7"/>
      <c r="O2393" s="7"/>
      <c r="P2393" s="7"/>
      <c r="Q2393" s="7"/>
      <c r="R2393" s="7"/>
      <c r="S2393" s="7"/>
      <c r="T2393" s="7"/>
      <c r="U2393" s="7"/>
      <c r="V2393" s="7"/>
      <c r="W2393" s="7"/>
      <c r="X2393" s="7"/>
      <c r="Y2393" s="7"/>
      <c r="Z2393" s="7"/>
      <c r="AA2393" s="7"/>
      <c r="AB2393" s="7"/>
      <c r="AC2393" s="7"/>
      <c r="AD2393" s="7"/>
      <c r="AE2393" s="7"/>
    </row>
    <row r="2394">
      <c r="A2394" s="7"/>
      <c r="B2394" s="21"/>
      <c r="C2394" s="21"/>
      <c r="D2394" s="21"/>
      <c r="E2394" s="21"/>
      <c r="F2394" s="21"/>
      <c r="G2394" s="21"/>
      <c r="H2394" s="21"/>
      <c r="I2394" s="21"/>
      <c r="J2394" s="21"/>
      <c r="K2394" s="21"/>
      <c r="L2394" s="21"/>
      <c r="M2394" s="7"/>
      <c r="N2394" s="7"/>
      <c r="O2394" s="7"/>
      <c r="P2394" s="7"/>
      <c r="Q2394" s="7"/>
      <c r="R2394" s="7"/>
      <c r="S2394" s="7"/>
      <c r="T2394" s="7"/>
      <c r="U2394" s="7"/>
      <c r="V2394" s="7"/>
      <c r="W2394" s="7"/>
      <c r="X2394" s="7"/>
      <c r="Y2394" s="7"/>
      <c r="Z2394" s="7"/>
      <c r="AA2394" s="7"/>
      <c r="AB2394" s="7"/>
      <c r="AC2394" s="7"/>
      <c r="AD2394" s="7"/>
      <c r="AE2394" s="7"/>
    </row>
    <row r="2395">
      <c r="A2395" s="7"/>
      <c r="B2395" s="21"/>
      <c r="C2395" s="21"/>
      <c r="D2395" s="21"/>
      <c r="E2395" s="21"/>
      <c r="F2395" s="21"/>
      <c r="G2395" s="21"/>
      <c r="H2395" s="21"/>
      <c r="I2395" s="21"/>
      <c r="J2395" s="21"/>
      <c r="K2395" s="21"/>
      <c r="L2395" s="21"/>
      <c r="M2395" s="7"/>
      <c r="N2395" s="7"/>
      <c r="O2395" s="7"/>
      <c r="P2395" s="7"/>
      <c r="Q2395" s="7"/>
      <c r="R2395" s="7"/>
      <c r="S2395" s="7"/>
      <c r="T2395" s="7"/>
      <c r="U2395" s="7"/>
      <c r="V2395" s="7"/>
      <c r="W2395" s="7"/>
      <c r="X2395" s="7"/>
      <c r="Y2395" s="7"/>
      <c r="Z2395" s="7"/>
      <c r="AA2395" s="7"/>
      <c r="AB2395" s="7"/>
      <c r="AC2395" s="7"/>
      <c r="AD2395" s="7"/>
      <c r="AE2395" s="7"/>
    </row>
    <row r="2396">
      <c r="A2396" s="7"/>
      <c r="B2396" s="21"/>
      <c r="C2396" s="21"/>
      <c r="D2396" s="21"/>
      <c r="E2396" s="21"/>
      <c r="F2396" s="21"/>
      <c r="G2396" s="21"/>
      <c r="H2396" s="21"/>
      <c r="I2396" s="21"/>
      <c r="J2396" s="21"/>
      <c r="K2396" s="21"/>
      <c r="L2396" s="21"/>
      <c r="M2396" s="7"/>
      <c r="N2396" s="7"/>
      <c r="O2396" s="7"/>
      <c r="P2396" s="7"/>
      <c r="Q2396" s="7"/>
      <c r="R2396" s="7"/>
      <c r="S2396" s="7"/>
      <c r="T2396" s="7"/>
      <c r="U2396" s="7"/>
      <c r="V2396" s="7"/>
      <c r="W2396" s="7"/>
      <c r="X2396" s="7"/>
      <c r="Y2396" s="7"/>
      <c r="Z2396" s="7"/>
      <c r="AA2396" s="7"/>
      <c r="AB2396" s="7"/>
      <c r="AC2396" s="7"/>
      <c r="AD2396" s="7"/>
      <c r="AE2396" s="7"/>
    </row>
    <row r="2397">
      <c r="A2397" s="7"/>
      <c r="B2397" s="21"/>
      <c r="C2397" s="21"/>
      <c r="D2397" s="21"/>
      <c r="E2397" s="21"/>
      <c r="F2397" s="21"/>
      <c r="G2397" s="21"/>
      <c r="H2397" s="21"/>
      <c r="I2397" s="21"/>
      <c r="J2397" s="21"/>
      <c r="K2397" s="21"/>
      <c r="L2397" s="21"/>
      <c r="M2397" s="7"/>
      <c r="N2397" s="7"/>
      <c r="O2397" s="7"/>
      <c r="P2397" s="7"/>
      <c r="Q2397" s="7"/>
      <c r="R2397" s="7"/>
      <c r="S2397" s="7"/>
      <c r="T2397" s="7"/>
      <c r="U2397" s="7"/>
      <c r="V2397" s="7"/>
      <c r="W2397" s="7"/>
      <c r="X2397" s="7"/>
      <c r="Y2397" s="7"/>
      <c r="Z2397" s="7"/>
      <c r="AA2397" s="7"/>
      <c r="AB2397" s="7"/>
      <c r="AC2397" s="7"/>
      <c r="AD2397" s="7"/>
      <c r="AE2397" s="7"/>
    </row>
    <row r="2398">
      <c r="A2398" s="7"/>
      <c r="B2398" s="21"/>
      <c r="C2398" s="21"/>
      <c r="D2398" s="21"/>
      <c r="E2398" s="21"/>
      <c r="F2398" s="21"/>
      <c r="G2398" s="21"/>
      <c r="H2398" s="21"/>
      <c r="I2398" s="21"/>
      <c r="J2398" s="21"/>
      <c r="K2398" s="21"/>
      <c r="L2398" s="21"/>
      <c r="M2398" s="7"/>
      <c r="N2398" s="7"/>
      <c r="O2398" s="7"/>
      <c r="P2398" s="7"/>
      <c r="Q2398" s="7"/>
      <c r="R2398" s="7"/>
      <c r="S2398" s="7"/>
      <c r="T2398" s="7"/>
      <c r="U2398" s="7"/>
      <c r="V2398" s="7"/>
      <c r="W2398" s="7"/>
      <c r="X2398" s="7"/>
      <c r="Y2398" s="7"/>
      <c r="Z2398" s="7"/>
      <c r="AA2398" s="7"/>
      <c r="AB2398" s="7"/>
      <c r="AC2398" s="7"/>
      <c r="AD2398" s="7"/>
      <c r="AE2398" s="7"/>
    </row>
    <row r="2399">
      <c r="A2399" s="7"/>
      <c r="B2399" s="21"/>
      <c r="C2399" s="21"/>
      <c r="D2399" s="21"/>
      <c r="E2399" s="21"/>
      <c r="F2399" s="21"/>
      <c r="G2399" s="21"/>
      <c r="H2399" s="21"/>
      <c r="I2399" s="21"/>
      <c r="J2399" s="21"/>
      <c r="K2399" s="21"/>
      <c r="L2399" s="21"/>
      <c r="M2399" s="7"/>
      <c r="N2399" s="7"/>
      <c r="O2399" s="7"/>
      <c r="P2399" s="7"/>
      <c r="Q2399" s="7"/>
      <c r="R2399" s="7"/>
      <c r="S2399" s="7"/>
      <c r="T2399" s="7"/>
      <c r="U2399" s="7"/>
      <c r="V2399" s="7"/>
      <c r="W2399" s="7"/>
      <c r="X2399" s="7"/>
      <c r="Y2399" s="7"/>
      <c r="Z2399" s="7"/>
      <c r="AA2399" s="7"/>
      <c r="AB2399" s="7"/>
      <c r="AC2399" s="7"/>
      <c r="AD2399" s="7"/>
      <c r="AE2399" s="7"/>
    </row>
    <row r="2400">
      <c r="A2400" s="7"/>
      <c r="B2400" s="21"/>
      <c r="C2400" s="21"/>
      <c r="D2400" s="21"/>
      <c r="E2400" s="21"/>
      <c r="F2400" s="21"/>
      <c r="G2400" s="21"/>
      <c r="H2400" s="21"/>
      <c r="I2400" s="21"/>
      <c r="J2400" s="21"/>
      <c r="K2400" s="21"/>
      <c r="L2400" s="21"/>
      <c r="M2400" s="7"/>
      <c r="N2400" s="7"/>
      <c r="O2400" s="7"/>
      <c r="P2400" s="7"/>
      <c r="Q2400" s="7"/>
      <c r="R2400" s="7"/>
      <c r="S2400" s="7"/>
      <c r="T2400" s="7"/>
      <c r="U2400" s="7"/>
      <c r="V2400" s="7"/>
      <c r="W2400" s="7"/>
      <c r="X2400" s="7"/>
      <c r="Y2400" s="7"/>
      <c r="Z2400" s="7"/>
      <c r="AA2400" s="7"/>
      <c r="AB2400" s="7"/>
      <c r="AC2400" s="7"/>
      <c r="AD2400" s="7"/>
      <c r="AE2400" s="7"/>
    </row>
    <row r="2401">
      <c r="A2401" s="7"/>
      <c r="B2401" s="21"/>
      <c r="C2401" s="21"/>
      <c r="D2401" s="21"/>
      <c r="E2401" s="21"/>
      <c r="F2401" s="21"/>
      <c r="G2401" s="21"/>
      <c r="H2401" s="21"/>
      <c r="I2401" s="21"/>
      <c r="J2401" s="21"/>
      <c r="K2401" s="21"/>
      <c r="L2401" s="21"/>
      <c r="M2401" s="7"/>
      <c r="N2401" s="7"/>
      <c r="O2401" s="7"/>
      <c r="P2401" s="7"/>
      <c r="Q2401" s="7"/>
      <c r="R2401" s="7"/>
      <c r="S2401" s="7"/>
      <c r="T2401" s="7"/>
      <c r="U2401" s="7"/>
      <c r="V2401" s="7"/>
      <c r="W2401" s="7"/>
      <c r="X2401" s="7"/>
      <c r="Y2401" s="7"/>
      <c r="Z2401" s="7"/>
      <c r="AA2401" s="7"/>
      <c r="AB2401" s="7"/>
      <c r="AC2401" s="7"/>
      <c r="AD2401" s="7"/>
      <c r="AE2401" s="7"/>
    </row>
    <row r="2402">
      <c r="A2402" s="7"/>
      <c r="B2402" s="21"/>
      <c r="C2402" s="21"/>
      <c r="D2402" s="21"/>
      <c r="E2402" s="21"/>
      <c r="F2402" s="21"/>
      <c r="G2402" s="21"/>
      <c r="H2402" s="21"/>
      <c r="I2402" s="21"/>
      <c r="J2402" s="21"/>
      <c r="K2402" s="21"/>
      <c r="L2402" s="21"/>
      <c r="M2402" s="7"/>
      <c r="N2402" s="7"/>
      <c r="O2402" s="7"/>
      <c r="P2402" s="7"/>
      <c r="Q2402" s="7"/>
      <c r="R2402" s="7"/>
      <c r="S2402" s="7"/>
      <c r="T2402" s="7"/>
      <c r="U2402" s="7"/>
      <c r="V2402" s="7"/>
      <c r="W2402" s="7"/>
      <c r="X2402" s="7"/>
      <c r="Y2402" s="7"/>
      <c r="Z2402" s="7"/>
      <c r="AA2402" s="7"/>
      <c r="AB2402" s="7"/>
      <c r="AC2402" s="7"/>
      <c r="AD2402" s="7"/>
      <c r="AE2402" s="7"/>
    </row>
    <row r="2403">
      <c r="A2403" s="7"/>
      <c r="B2403" s="21"/>
      <c r="C2403" s="21"/>
      <c r="D2403" s="21"/>
      <c r="E2403" s="21"/>
      <c r="F2403" s="21"/>
      <c r="G2403" s="21"/>
      <c r="H2403" s="21"/>
      <c r="I2403" s="21"/>
      <c r="J2403" s="21"/>
      <c r="K2403" s="21"/>
      <c r="L2403" s="21"/>
      <c r="M2403" s="7"/>
      <c r="N2403" s="7"/>
      <c r="O2403" s="7"/>
      <c r="P2403" s="7"/>
      <c r="Q2403" s="7"/>
      <c r="R2403" s="7"/>
      <c r="S2403" s="7"/>
      <c r="T2403" s="7"/>
      <c r="U2403" s="7"/>
      <c r="V2403" s="7"/>
      <c r="W2403" s="7"/>
      <c r="X2403" s="7"/>
      <c r="Y2403" s="7"/>
      <c r="Z2403" s="7"/>
      <c r="AA2403" s="7"/>
      <c r="AB2403" s="7"/>
      <c r="AC2403" s="7"/>
      <c r="AD2403" s="7"/>
      <c r="AE2403" s="7"/>
    </row>
    <row r="2404">
      <c r="A2404" s="7"/>
      <c r="B2404" s="21"/>
      <c r="C2404" s="21"/>
      <c r="D2404" s="21"/>
      <c r="E2404" s="21"/>
      <c r="F2404" s="21"/>
      <c r="G2404" s="21"/>
      <c r="H2404" s="21"/>
      <c r="I2404" s="21"/>
      <c r="J2404" s="21"/>
      <c r="K2404" s="21"/>
      <c r="L2404" s="21"/>
      <c r="M2404" s="7"/>
      <c r="N2404" s="7"/>
      <c r="O2404" s="7"/>
      <c r="P2404" s="7"/>
      <c r="Q2404" s="7"/>
      <c r="R2404" s="7"/>
      <c r="S2404" s="7"/>
      <c r="T2404" s="7"/>
      <c r="U2404" s="7"/>
      <c r="V2404" s="7"/>
      <c r="W2404" s="7"/>
      <c r="X2404" s="7"/>
      <c r="Y2404" s="7"/>
      <c r="Z2404" s="7"/>
      <c r="AA2404" s="7"/>
      <c r="AB2404" s="7"/>
      <c r="AC2404" s="7"/>
      <c r="AD2404" s="7"/>
      <c r="AE2404" s="7"/>
    </row>
    <row r="2405">
      <c r="A2405" s="7"/>
      <c r="B2405" s="21"/>
      <c r="C2405" s="21"/>
      <c r="D2405" s="21"/>
      <c r="E2405" s="21"/>
      <c r="F2405" s="21"/>
      <c r="G2405" s="21"/>
      <c r="H2405" s="21"/>
      <c r="I2405" s="21"/>
      <c r="J2405" s="21"/>
      <c r="K2405" s="21"/>
      <c r="L2405" s="21"/>
      <c r="M2405" s="7"/>
      <c r="N2405" s="7"/>
      <c r="O2405" s="7"/>
      <c r="P2405" s="7"/>
      <c r="Q2405" s="7"/>
      <c r="R2405" s="7"/>
      <c r="S2405" s="7"/>
      <c r="T2405" s="7"/>
      <c r="U2405" s="7"/>
      <c r="V2405" s="7"/>
      <c r="W2405" s="7"/>
      <c r="X2405" s="7"/>
      <c r="Y2405" s="7"/>
      <c r="Z2405" s="7"/>
      <c r="AA2405" s="7"/>
      <c r="AB2405" s="7"/>
      <c r="AC2405" s="7"/>
      <c r="AD2405" s="7"/>
      <c r="AE2405" s="7"/>
    </row>
    <row r="2406">
      <c r="A2406" s="7"/>
      <c r="B2406" s="21"/>
      <c r="C2406" s="21"/>
      <c r="D2406" s="21"/>
      <c r="E2406" s="21"/>
      <c r="F2406" s="21"/>
      <c r="G2406" s="21"/>
      <c r="H2406" s="21"/>
      <c r="I2406" s="21"/>
      <c r="J2406" s="21"/>
      <c r="K2406" s="21"/>
      <c r="L2406" s="21"/>
      <c r="M2406" s="7"/>
      <c r="N2406" s="7"/>
      <c r="O2406" s="7"/>
      <c r="P2406" s="7"/>
      <c r="Q2406" s="7"/>
      <c r="R2406" s="7"/>
      <c r="S2406" s="7"/>
      <c r="T2406" s="7"/>
      <c r="U2406" s="7"/>
      <c r="V2406" s="7"/>
      <c r="W2406" s="7"/>
      <c r="X2406" s="7"/>
      <c r="Y2406" s="7"/>
      <c r="Z2406" s="7"/>
      <c r="AA2406" s="7"/>
      <c r="AB2406" s="7"/>
      <c r="AC2406" s="7"/>
      <c r="AD2406" s="7"/>
      <c r="AE2406" s="7"/>
    </row>
    <row r="2407">
      <c r="A2407" s="7"/>
      <c r="B2407" s="21"/>
      <c r="C2407" s="21"/>
      <c r="D2407" s="21"/>
      <c r="E2407" s="21"/>
      <c r="F2407" s="21"/>
      <c r="G2407" s="21"/>
      <c r="H2407" s="21"/>
      <c r="I2407" s="21"/>
      <c r="J2407" s="21"/>
      <c r="K2407" s="21"/>
      <c r="L2407" s="21"/>
      <c r="M2407" s="7"/>
      <c r="N2407" s="7"/>
      <c r="O2407" s="7"/>
      <c r="P2407" s="7"/>
      <c r="Q2407" s="7"/>
      <c r="R2407" s="7"/>
      <c r="S2407" s="7"/>
      <c r="T2407" s="7"/>
      <c r="U2407" s="7"/>
      <c r="V2407" s="7"/>
      <c r="W2407" s="7"/>
      <c r="X2407" s="7"/>
      <c r="Y2407" s="7"/>
      <c r="Z2407" s="7"/>
      <c r="AA2407" s="7"/>
      <c r="AB2407" s="7"/>
      <c r="AC2407" s="7"/>
      <c r="AD2407" s="7"/>
      <c r="AE2407" s="7"/>
    </row>
    <row r="2408">
      <c r="A2408" s="7"/>
      <c r="B2408" s="21"/>
      <c r="C2408" s="21"/>
      <c r="D2408" s="21"/>
      <c r="E2408" s="21"/>
      <c r="F2408" s="21"/>
      <c r="G2408" s="21"/>
      <c r="H2408" s="21"/>
      <c r="I2408" s="21"/>
      <c r="J2408" s="21"/>
      <c r="K2408" s="21"/>
      <c r="L2408" s="21"/>
      <c r="M2408" s="7"/>
      <c r="N2408" s="7"/>
      <c r="O2408" s="7"/>
      <c r="P2408" s="7"/>
      <c r="Q2408" s="7"/>
      <c r="R2408" s="7"/>
      <c r="S2408" s="7"/>
      <c r="T2408" s="7"/>
      <c r="U2408" s="7"/>
      <c r="V2408" s="7"/>
      <c r="W2408" s="7"/>
      <c r="X2408" s="7"/>
      <c r="Y2408" s="7"/>
      <c r="Z2408" s="7"/>
      <c r="AA2408" s="7"/>
      <c r="AB2408" s="7"/>
      <c r="AC2408" s="7"/>
      <c r="AD2408" s="7"/>
      <c r="AE2408" s="7"/>
    </row>
    <row r="2409">
      <c r="A2409" s="7"/>
      <c r="B2409" s="21"/>
      <c r="C2409" s="21"/>
      <c r="D2409" s="21"/>
      <c r="E2409" s="21"/>
      <c r="F2409" s="21"/>
      <c r="G2409" s="21"/>
      <c r="H2409" s="21"/>
      <c r="I2409" s="21"/>
      <c r="J2409" s="21"/>
      <c r="K2409" s="21"/>
      <c r="L2409" s="21"/>
      <c r="M2409" s="7"/>
      <c r="N2409" s="7"/>
      <c r="O2409" s="7"/>
      <c r="P2409" s="7"/>
      <c r="Q2409" s="7"/>
      <c r="R2409" s="7"/>
      <c r="S2409" s="7"/>
      <c r="T2409" s="7"/>
      <c r="U2409" s="7"/>
      <c r="V2409" s="7"/>
      <c r="W2409" s="7"/>
      <c r="X2409" s="7"/>
      <c r="Y2409" s="7"/>
      <c r="Z2409" s="7"/>
      <c r="AA2409" s="7"/>
      <c r="AB2409" s="7"/>
      <c r="AC2409" s="7"/>
      <c r="AD2409" s="7"/>
      <c r="AE2409" s="7"/>
    </row>
    <row r="2410">
      <c r="A2410" s="7"/>
      <c r="B2410" s="21"/>
      <c r="C2410" s="21"/>
      <c r="D2410" s="21"/>
      <c r="E2410" s="21"/>
      <c r="F2410" s="21"/>
      <c r="G2410" s="21"/>
      <c r="H2410" s="21"/>
      <c r="I2410" s="21"/>
      <c r="J2410" s="21"/>
      <c r="K2410" s="21"/>
      <c r="L2410" s="21"/>
      <c r="M2410" s="7"/>
      <c r="N2410" s="7"/>
      <c r="O2410" s="7"/>
      <c r="P2410" s="7"/>
      <c r="Q2410" s="7"/>
      <c r="R2410" s="7"/>
      <c r="S2410" s="7"/>
      <c r="T2410" s="7"/>
      <c r="U2410" s="7"/>
      <c r="V2410" s="7"/>
      <c r="W2410" s="7"/>
      <c r="X2410" s="7"/>
      <c r="Y2410" s="7"/>
      <c r="Z2410" s="7"/>
      <c r="AA2410" s="7"/>
      <c r="AB2410" s="7"/>
      <c r="AC2410" s="7"/>
      <c r="AD2410" s="7"/>
      <c r="AE2410" s="7"/>
    </row>
    <row r="2411">
      <c r="A2411" s="7"/>
      <c r="B2411" s="21"/>
      <c r="C2411" s="21"/>
      <c r="D2411" s="21"/>
      <c r="E2411" s="21"/>
      <c r="F2411" s="21"/>
      <c r="G2411" s="21"/>
      <c r="H2411" s="21"/>
      <c r="I2411" s="21"/>
      <c r="J2411" s="21"/>
      <c r="K2411" s="21"/>
      <c r="L2411" s="21"/>
      <c r="M2411" s="7"/>
      <c r="N2411" s="7"/>
      <c r="O2411" s="7"/>
      <c r="P2411" s="7"/>
      <c r="Q2411" s="7"/>
      <c r="R2411" s="7"/>
      <c r="S2411" s="7"/>
      <c r="T2411" s="7"/>
      <c r="U2411" s="7"/>
      <c r="V2411" s="7"/>
      <c r="W2411" s="7"/>
      <c r="X2411" s="7"/>
      <c r="Y2411" s="7"/>
      <c r="Z2411" s="7"/>
      <c r="AA2411" s="7"/>
      <c r="AB2411" s="7"/>
      <c r="AC2411" s="7"/>
      <c r="AD2411" s="7"/>
      <c r="AE2411" s="7"/>
    </row>
    <row r="2412">
      <c r="A2412" s="7"/>
      <c r="B2412" s="21"/>
      <c r="C2412" s="21"/>
      <c r="D2412" s="21"/>
      <c r="E2412" s="21"/>
      <c r="F2412" s="21"/>
      <c r="G2412" s="21"/>
      <c r="H2412" s="21"/>
      <c r="I2412" s="21"/>
      <c r="J2412" s="21"/>
      <c r="K2412" s="21"/>
      <c r="L2412" s="21"/>
      <c r="M2412" s="7"/>
      <c r="N2412" s="7"/>
      <c r="O2412" s="7"/>
      <c r="P2412" s="7"/>
      <c r="Q2412" s="7"/>
      <c r="R2412" s="7"/>
      <c r="S2412" s="7"/>
      <c r="T2412" s="7"/>
      <c r="U2412" s="7"/>
      <c r="V2412" s="7"/>
      <c r="W2412" s="7"/>
      <c r="X2412" s="7"/>
      <c r="Y2412" s="7"/>
      <c r="Z2412" s="7"/>
      <c r="AA2412" s="7"/>
      <c r="AB2412" s="7"/>
      <c r="AC2412" s="7"/>
      <c r="AD2412" s="7"/>
      <c r="AE2412" s="7"/>
    </row>
    <row r="2413">
      <c r="A2413" s="7"/>
      <c r="B2413" s="21"/>
      <c r="C2413" s="21"/>
      <c r="D2413" s="21"/>
      <c r="E2413" s="21"/>
      <c r="F2413" s="21"/>
      <c r="G2413" s="21"/>
      <c r="H2413" s="21"/>
      <c r="I2413" s="21"/>
      <c r="J2413" s="21"/>
      <c r="K2413" s="21"/>
      <c r="L2413" s="21"/>
      <c r="M2413" s="7"/>
      <c r="N2413" s="7"/>
      <c r="O2413" s="7"/>
      <c r="P2413" s="7"/>
      <c r="Q2413" s="7"/>
      <c r="R2413" s="7"/>
      <c r="S2413" s="7"/>
      <c r="T2413" s="7"/>
      <c r="U2413" s="7"/>
      <c r="V2413" s="7"/>
      <c r="W2413" s="7"/>
      <c r="X2413" s="7"/>
      <c r="Y2413" s="7"/>
      <c r="Z2413" s="7"/>
      <c r="AA2413" s="7"/>
      <c r="AB2413" s="7"/>
      <c r="AC2413" s="7"/>
      <c r="AD2413" s="7"/>
      <c r="AE2413" s="7"/>
    </row>
    <row r="2414">
      <c r="A2414" s="7"/>
      <c r="B2414" s="21"/>
      <c r="C2414" s="21"/>
      <c r="D2414" s="21"/>
      <c r="E2414" s="21"/>
      <c r="F2414" s="21"/>
      <c r="G2414" s="21"/>
      <c r="H2414" s="21"/>
      <c r="I2414" s="21"/>
      <c r="J2414" s="21"/>
      <c r="K2414" s="21"/>
      <c r="L2414" s="21"/>
      <c r="M2414" s="7"/>
      <c r="N2414" s="7"/>
      <c r="O2414" s="7"/>
      <c r="P2414" s="7"/>
      <c r="Q2414" s="7"/>
      <c r="R2414" s="7"/>
      <c r="S2414" s="7"/>
      <c r="T2414" s="7"/>
      <c r="U2414" s="7"/>
      <c r="V2414" s="7"/>
      <c r="W2414" s="7"/>
      <c r="X2414" s="7"/>
      <c r="Y2414" s="7"/>
      <c r="Z2414" s="7"/>
      <c r="AA2414" s="7"/>
      <c r="AB2414" s="7"/>
      <c r="AC2414" s="7"/>
      <c r="AD2414" s="7"/>
      <c r="AE2414" s="7"/>
    </row>
    <row r="2415">
      <c r="A2415" s="7"/>
      <c r="B2415" s="21"/>
      <c r="C2415" s="21"/>
      <c r="D2415" s="21"/>
      <c r="E2415" s="21"/>
      <c r="F2415" s="21"/>
      <c r="G2415" s="21"/>
      <c r="H2415" s="21"/>
      <c r="I2415" s="21"/>
      <c r="J2415" s="21"/>
      <c r="K2415" s="21"/>
      <c r="L2415" s="21"/>
      <c r="M2415" s="7"/>
      <c r="N2415" s="7"/>
      <c r="O2415" s="7"/>
      <c r="P2415" s="7"/>
      <c r="Q2415" s="7"/>
      <c r="R2415" s="7"/>
      <c r="S2415" s="7"/>
      <c r="T2415" s="7"/>
      <c r="U2415" s="7"/>
      <c r="V2415" s="7"/>
      <c r="W2415" s="7"/>
      <c r="X2415" s="7"/>
      <c r="Y2415" s="7"/>
      <c r="Z2415" s="7"/>
      <c r="AA2415" s="7"/>
      <c r="AB2415" s="7"/>
      <c r="AC2415" s="7"/>
      <c r="AD2415" s="7"/>
      <c r="AE2415" s="7"/>
    </row>
    <row r="2416">
      <c r="A2416" s="7"/>
      <c r="B2416" s="21"/>
      <c r="C2416" s="21"/>
      <c r="D2416" s="21"/>
      <c r="E2416" s="21"/>
      <c r="F2416" s="21"/>
      <c r="G2416" s="21"/>
      <c r="H2416" s="21"/>
      <c r="I2416" s="21"/>
      <c r="J2416" s="21"/>
      <c r="K2416" s="21"/>
      <c r="L2416" s="21"/>
      <c r="M2416" s="7"/>
      <c r="N2416" s="7"/>
      <c r="O2416" s="7"/>
      <c r="P2416" s="7"/>
      <c r="Q2416" s="7"/>
      <c r="R2416" s="7"/>
      <c r="S2416" s="7"/>
      <c r="T2416" s="7"/>
      <c r="U2416" s="7"/>
      <c r="V2416" s="7"/>
      <c r="W2416" s="7"/>
      <c r="X2416" s="7"/>
      <c r="Y2416" s="7"/>
      <c r="Z2416" s="7"/>
      <c r="AA2416" s="7"/>
      <c r="AB2416" s="7"/>
      <c r="AC2416" s="7"/>
      <c r="AD2416" s="7"/>
      <c r="AE2416" s="7"/>
    </row>
    <row r="2417">
      <c r="A2417" s="7"/>
      <c r="B2417" s="21"/>
      <c r="C2417" s="21"/>
      <c r="D2417" s="21"/>
      <c r="E2417" s="21"/>
      <c r="F2417" s="21"/>
      <c r="G2417" s="21"/>
      <c r="H2417" s="21"/>
      <c r="I2417" s="21"/>
      <c r="J2417" s="21"/>
      <c r="K2417" s="21"/>
      <c r="L2417" s="21"/>
      <c r="M2417" s="7"/>
      <c r="N2417" s="7"/>
      <c r="O2417" s="7"/>
      <c r="P2417" s="7"/>
      <c r="Q2417" s="7"/>
      <c r="R2417" s="7"/>
      <c r="S2417" s="7"/>
      <c r="T2417" s="7"/>
      <c r="U2417" s="7"/>
      <c r="V2417" s="7"/>
      <c r="W2417" s="7"/>
      <c r="X2417" s="7"/>
      <c r="Y2417" s="7"/>
      <c r="Z2417" s="7"/>
      <c r="AA2417" s="7"/>
      <c r="AB2417" s="7"/>
      <c r="AC2417" s="7"/>
      <c r="AD2417" s="7"/>
      <c r="AE2417" s="7"/>
    </row>
    <row r="2418">
      <c r="A2418" s="7"/>
      <c r="B2418" s="21"/>
      <c r="C2418" s="21"/>
      <c r="D2418" s="21"/>
      <c r="E2418" s="21"/>
      <c r="F2418" s="21"/>
      <c r="G2418" s="21"/>
      <c r="H2418" s="21"/>
      <c r="I2418" s="21"/>
      <c r="J2418" s="21"/>
      <c r="K2418" s="21"/>
      <c r="L2418" s="21"/>
      <c r="M2418" s="7"/>
      <c r="N2418" s="7"/>
      <c r="O2418" s="7"/>
      <c r="P2418" s="7"/>
      <c r="Q2418" s="7"/>
      <c r="R2418" s="7"/>
      <c r="S2418" s="7"/>
      <c r="T2418" s="7"/>
      <c r="U2418" s="7"/>
      <c r="V2418" s="7"/>
      <c r="W2418" s="7"/>
      <c r="X2418" s="7"/>
      <c r="Y2418" s="7"/>
      <c r="Z2418" s="7"/>
      <c r="AA2418" s="7"/>
      <c r="AB2418" s="7"/>
      <c r="AC2418" s="7"/>
      <c r="AD2418" s="7"/>
      <c r="AE2418" s="7"/>
    </row>
    <row r="2419">
      <c r="A2419" s="7"/>
      <c r="B2419" s="21"/>
      <c r="C2419" s="21"/>
      <c r="D2419" s="21"/>
      <c r="E2419" s="21"/>
      <c r="F2419" s="21"/>
      <c r="G2419" s="21"/>
      <c r="H2419" s="21"/>
      <c r="I2419" s="21"/>
      <c r="J2419" s="21"/>
      <c r="K2419" s="21"/>
      <c r="L2419" s="21"/>
      <c r="M2419" s="7"/>
      <c r="N2419" s="7"/>
      <c r="O2419" s="7"/>
      <c r="P2419" s="7"/>
      <c r="Q2419" s="7"/>
      <c r="R2419" s="7"/>
      <c r="S2419" s="7"/>
      <c r="T2419" s="7"/>
      <c r="U2419" s="7"/>
      <c r="V2419" s="7"/>
      <c r="W2419" s="7"/>
      <c r="X2419" s="7"/>
      <c r="Y2419" s="7"/>
      <c r="Z2419" s="7"/>
      <c r="AA2419" s="7"/>
      <c r="AB2419" s="7"/>
      <c r="AC2419" s="7"/>
      <c r="AD2419" s="7"/>
      <c r="AE2419" s="7"/>
    </row>
    <row r="2420">
      <c r="A2420" s="7"/>
      <c r="B2420" s="21"/>
      <c r="C2420" s="21"/>
      <c r="D2420" s="21"/>
      <c r="E2420" s="21"/>
      <c r="F2420" s="21"/>
      <c r="G2420" s="21"/>
      <c r="H2420" s="21"/>
      <c r="I2420" s="21"/>
      <c r="J2420" s="21"/>
      <c r="K2420" s="21"/>
      <c r="L2420" s="21"/>
      <c r="M2420" s="7"/>
      <c r="N2420" s="7"/>
      <c r="O2420" s="7"/>
      <c r="P2420" s="7"/>
      <c r="Q2420" s="7"/>
      <c r="R2420" s="7"/>
      <c r="S2420" s="7"/>
      <c r="T2420" s="7"/>
      <c r="U2420" s="7"/>
      <c r="V2420" s="7"/>
      <c r="W2420" s="7"/>
      <c r="X2420" s="7"/>
      <c r="Y2420" s="7"/>
      <c r="Z2420" s="7"/>
      <c r="AA2420" s="7"/>
      <c r="AB2420" s="7"/>
      <c r="AC2420" s="7"/>
      <c r="AD2420" s="7"/>
      <c r="AE2420" s="7"/>
    </row>
    <row r="2421">
      <c r="A2421" s="7"/>
      <c r="B2421" s="21"/>
      <c r="C2421" s="21"/>
      <c r="D2421" s="21"/>
      <c r="E2421" s="21"/>
      <c r="F2421" s="21"/>
      <c r="G2421" s="21"/>
      <c r="H2421" s="21"/>
      <c r="I2421" s="21"/>
      <c r="J2421" s="21"/>
      <c r="K2421" s="21"/>
      <c r="L2421" s="21"/>
      <c r="M2421" s="7"/>
      <c r="N2421" s="7"/>
      <c r="O2421" s="7"/>
      <c r="P2421" s="7"/>
      <c r="Q2421" s="7"/>
      <c r="R2421" s="7"/>
      <c r="S2421" s="7"/>
      <c r="T2421" s="7"/>
      <c r="U2421" s="7"/>
      <c r="V2421" s="7"/>
      <c r="W2421" s="7"/>
      <c r="X2421" s="7"/>
      <c r="Y2421" s="7"/>
      <c r="Z2421" s="7"/>
      <c r="AA2421" s="7"/>
      <c r="AB2421" s="7"/>
      <c r="AC2421" s="7"/>
      <c r="AD2421" s="7"/>
      <c r="AE2421" s="7"/>
    </row>
    <row r="2422">
      <c r="A2422" s="7"/>
      <c r="B2422" s="21"/>
      <c r="C2422" s="21"/>
      <c r="D2422" s="21"/>
      <c r="E2422" s="21"/>
      <c r="F2422" s="21"/>
      <c r="G2422" s="21"/>
      <c r="H2422" s="21"/>
      <c r="I2422" s="21"/>
      <c r="J2422" s="21"/>
      <c r="K2422" s="21"/>
      <c r="L2422" s="21"/>
      <c r="M2422" s="7"/>
      <c r="N2422" s="7"/>
      <c r="O2422" s="7"/>
      <c r="P2422" s="7"/>
      <c r="Q2422" s="7"/>
      <c r="R2422" s="7"/>
      <c r="S2422" s="7"/>
      <c r="T2422" s="7"/>
      <c r="U2422" s="7"/>
      <c r="V2422" s="7"/>
      <c r="W2422" s="7"/>
      <c r="X2422" s="7"/>
      <c r="Y2422" s="7"/>
      <c r="Z2422" s="7"/>
      <c r="AA2422" s="7"/>
      <c r="AB2422" s="7"/>
      <c r="AC2422" s="7"/>
      <c r="AD2422" s="7"/>
      <c r="AE2422" s="7"/>
    </row>
    <row r="2423">
      <c r="A2423" s="7"/>
      <c r="B2423" s="21"/>
      <c r="C2423" s="21"/>
      <c r="D2423" s="21"/>
      <c r="E2423" s="21"/>
      <c r="F2423" s="21"/>
      <c r="G2423" s="21"/>
      <c r="H2423" s="21"/>
      <c r="I2423" s="21"/>
      <c r="J2423" s="21"/>
      <c r="K2423" s="21"/>
      <c r="L2423" s="21"/>
      <c r="M2423" s="7"/>
      <c r="N2423" s="7"/>
      <c r="O2423" s="7"/>
      <c r="P2423" s="7"/>
      <c r="Q2423" s="7"/>
      <c r="R2423" s="7"/>
      <c r="S2423" s="7"/>
      <c r="T2423" s="7"/>
      <c r="U2423" s="7"/>
      <c r="V2423" s="7"/>
      <c r="W2423" s="7"/>
      <c r="X2423" s="7"/>
      <c r="Y2423" s="7"/>
      <c r="Z2423" s="7"/>
      <c r="AA2423" s="7"/>
      <c r="AB2423" s="7"/>
      <c r="AC2423" s="7"/>
      <c r="AD2423" s="7"/>
      <c r="AE2423" s="7"/>
    </row>
    <row r="2424">
      <c r="A2424" s="7"/>
      <c r="B2424" s="21"/>
      <c r="C2424" s="21"/>
      <c r="D2424" s="21"/>
      <c r="E2424" s="21"/>
      <c r="F2424" s="21"/>
      <c r="G2424" s="21"/>
      <c r="H2424" s="21"/>
      <c r="I2424" s="21"/>
      <c r="J2424" s="21"/>
      <c r="K2424" s="21"/>
      <c r="L2424" s="21"/>
      <c r="M2424" s="7"/>
      <c r="N2424" s="7"/>
      <c r="O2424" s="7"/>
      <c r="P2424" s="7"/>
      <c r="Q2424" s="7"/>
      <c r="R2424" s="7"/>
      <c r="S2424" s="7"/>
      <c r="T2424" s="7"/>
      <c r="U2424" s="7"/>
      <c r="V2424" s="7"/>
      <c r="W2424" s="7"/>
      <c r="X2424" s="7"/>
      <c r="Y2424" s="7"/>
      <c r="Z2424" s="7"/>
      <c r="AA2424" s="7"/>
      <c r="AB2424" s="7"/>
      <c r="AC2424" s="7"/>
      <c r="AD2424" s="7"/>
      <c r="AE2424" s="7"/>
    </row>
    <row r="2425">
      <c r="A2425" s="7"/>
      <c r="B2425" s="21"/>
      <c r="C2425" s="21"/>
      <c r="D2425" s="21"/>
      <c r="E2425" s="21"/>
      <c r="F2425" s="21"/>
      <c r="G2425" s="21"/>
      <c r="H2425" s="21"/>
      <c r="I2425" s="21"/>
      <c r="J2425" s="21"/>
      <c r="K2425" s="21"/>
      <c r="L2425" s="21"/>
      <c r="M2425" s="7"/>
      <c r="N2425" s="7"/>
      <c r="O2425" s="7"/>
      <c r="P2425" s="7"/>
      <c r="Q2425" s="7"/>
      <c r="R2425" s="7"/>
      <c r="S2425" s="7"/>
      <c r="T2425" s="7"/>
      <c r="U2425" s="7"/>
      <c r="V2425" s="7"/>
      <c r="W2425" s="7"/>
      <c r="X2425" s="7"/>
      <c r="Y2425" s="7"/>
      <c r="Z2425" s="7"/>
      <c r="AA2425" s="7"/>
      <c r="AB2425" s="7"/>
      <c r="AC2425" s="7"/>
      <c r="AD2425" s="7"/>
      <c r="AE2425" s="7"/>
    </row>
    <row r="2426">
      <c r="A2426" s="7"/>
      <c r="B2426" s="21"/>
      <c r="C2426" s="21"/>
      <c r="D2426" s="21"/>
      <c r="E2426" s="21"/>
      <c r="F2426" s="21"/>
      <c r="G2426" s="21"/>
      <c r="H2426" s="21"/>
      <c r="I2426" s="21"/>
      <c r="J2426" s="21"/>
      <c r="K2426" s="21"/>
      <c r="L2426" s="21"/>
      <c r="M2426" s="7"/>
      <c r="N2426" s="7"/>
      <c r="O2426" s="7"/>
      <c r="P2426" s="7"/>
      <c r="Q2426" s="7"/>
      <c r="R2426" s="7"/>
      <c r="S2426" s="7"/>
      <c r="T2426" s="7"/>
      <c r="U2426" s="7"/>
      <c r="V2426" s="7"/>
      <c r="W2426" s="7"/>
      <c r="X2426" s="7"/>
      <c r="Y2426" s="7"/>
      <c r="Z2426" s="7"/>
      <c r="AA2426" s="7"/>
      <c r="AB2426" s="7"/>
      <c r="AC2426" s="7"/>
      <c r="AD2426" s="7"/>
      <c r="AE2426" s="7"/>
    </row>
    <row r="2427">
      <c r="A2427" s="7"/>
      <c r="B2427" s="21"/>
      <c r="C2427" s="21"/>
      <c r="D2427" s="21"/>
      <c r="E2427" s="21"/>
      <c r="F2427" s="21"/>
      <c r="G2427" s="21"/>
      <c r="H2427" s="21"/>
      <c r="I2427" s="21"/>
      <c r="J2427" s="21"/>
      <c r="K2427" s="21"/>
      <c r="L2427" s="21"/>
      <c r="M2427" s="7"/>
      <c r="N2427" s="7"/>
      <c r="O2427" s="7"/>
      <c r="P2427" s="7"/>
      <c r="Q2427" s="7"/>
      <c r="R2427" s="7"/>
      <c r="S2427" s="7"/>
      <c r="T2427" s="7"/>
      <c r="U2427" s="7"/>
      <c r="V2427" s="7"/>
      <c r="W2427" s="7"/>
      <c r="X2427" s="7"/>
      <c r="Y2427" s="7"/>
      <c r="Z2427" s="7"/>
      <c r="AA2427" s="7"/>
      <c r="AB2427" s="7"/>
      <c r="AC2427" s="7"/>
      <c r="AD2427" s="7"/>
      <c r="AE2427" s="7"/>
    </row>
    <row r="2428">
      <c r="A2428" s="7"/>
      <c r="B2428" s="21"/>
      <c r="C2428" s="21"/>
      <c r="D2428" s="21"/>
      <c r="E2428" s="21"/>
      <c r="F2428" s="21"/>
      <c r="G2428" s="21"/>
      <c r="H2428" s="21"/>
      <c r="I2428" s="21"/>
      <c r="J2428" s="21"/>
      <c r="K2428" s="21"/>
      <c r="L2428" s="21"/>
      <c r="M2428" s="7"/>
      <c r="N2428" s="7"/>
      <c r="O2428" s="7"/>
      <c r="P2428" s="7"/>
      <c r="Q2428" s="7"/>
      <c r="R2428" s="7"/>
      <c r="S2428" s="7"/>
      <c r="T2428" s="7"/>
      <c r="U2428" s="7"/>
      <c r="V2428" s="7"/>
      <c r="W2428" s="7"/>
      <c r="X2428" s="7"/>
      <c r="Y2428" s="7"/>
      <c r="Z2428" s="7"/>
      <c r="AA2428" s="7"/>
      <c r="AB2428" s="7"/>
      <c r="AC2428" s="7"/>
      <c r="AD2428" s="7"/>
      <c r="AE2428" s="7"/>
    </row>
    <row r="2429">
      <c r="A2429" s="7"/>
      <c r="B2429" s="21"/>
      <c r="C2429" s="21"/>
      <c r="D2429" s="21"/>
      <c r="E2429" s="21"/>
      <c r="F2429" s="21"/>
      <c r="G2429" s="21"/>
      <c r="H2429" s="21"/>
      <c r="I2429" s="21"/>
      <c r="J2429" s="21"/>
      <c r="K2429" s="21"/>
      <c r="L2429" s="21"/>
      <c r="M2429" s="7"/>
      <c r="N2429" s="7"/>
      <c r="O2429" s="7"/>
      <c r="P2429" s="7"/>
      <c r="Q2429" s="7"/>
      <c r="R2429" s="7"/>
      <c r="S2429" s="7"/>
      <c r="T2429" s="7"/>
      <c r="U2429" s="7"/>
      <c r="V2429" s="7"/>
      <c r="W2429" s="7"/>
      <c r="X2429" s="7"/>
      <c r="Y2429" s="7"/>
      <c r="Z2429" s="7"/>
      <c r="AA2429" s="7"/>
      <c r="AB2429" s="7"/>
      <c r="AC2429" s="7"/>
      <c r="AD2429" s="7"/>
      <c r="AE2429" s="7"/>
    </row>
    <row r="2430">
      <c r="A2430" s="7"/>
      <c r="B2430" s="21"/>
      <c r="C2430" s="21"/>
      <c r="D2430" s="21"/>
      <c r="E2430" s="21"/>
      <c r="F2430" s="21"/>
      <c r="G2430" s="21"/>
      <c r="H2430" s="21"/>
      <c r="I2430" s="21"/>
      <c r="J2430" s="21"/>
      <c r="K2430" s="21"/>
      <c r="L2430" s="21"/>
      <c r="M2430" s="7"/>
      <c r="N2430" s="7"/>
      <c r="O2430" s="7"/>
      <c r="P2430" s="7"/>
      <c r="Q2430" s="7"/>
      <c r="R2430" s="7"/>
      <c r="S2430" s="7"/>
      <c r="T2430" s="7"/>
      <c r="U2430" s="7"/>
      <c r="V2430" s="7"/>
      <c r="W2430" s="7"/>
      <c r="X2430" s="7"/>
      <c r="Y2430" s="7"/>
      <c r="Z2430" s="7"/>
      <c r="AA2430" s="7"/>
      <c r="AB2430" s="7"/>
      <c r="AC2430" s="7"/>
      <c r="AD2430" s="7"/>
      <c r="AE2430" s="7"/>
    </row>
    <row r="2431">
      <c r="A2431" s="7"/>
      <c r="B2431" s="21"/>
      <c r="C2431" s="21"/>
      <c r="D2431" s="21"/>
      <c r="E2431" s="21"/>
      <c r="F2431" s="21"/>
      <c r="G2431" s="21"/>
      <c r="H2431" s="21"/>
      <c r="I2431" s="21"/>
      <c r="J2431" s="21"/>
      <c r="K2431" s="21"/>
      <c r="L2431" s="21"/>
      <c r="M2431" s="7"/>
      <c r="N2431" s="7"/>
      <c r="O2431" s="7"/>
      <c r="P2431" s="7"/>
      <c r="Q2431" s="7"/>
      <c r="R2431" s="7"/>
      <c r="S2431" s="7"/>
      <c r="T2431" s="7"/>
      <c r="U2431" s="7"/>
      <c r="V2431" s="7"/>
      <c r="W2431" s="7"/>
      <c r="X2431" s="7"/>
      <c r="Y2431" s="7"/>
      <c r="Z2431" s="7"/>
      <c r="AA2431" s="7"/>
      <c r="AB2431" s="7"/>
      <c r="AC2431" s="7"/>
      <c r="AD2431" s="7"/>
      <c r="AE2431" s="7"/>
    </row>
    <row r="2432">
      <c r="A2432" s="7"/>
      <c r="B2432" s="21"/>
      <c r="C2432" s="21"/>
      <c r="D2432" s="21"/>
      <c r="E2432" s="21"/>
      <c r="F2432" s="21"/>
      <c r="G2432" s="21"/>
      <c r="H2432" s="21"/>
      <c r="I2432" s="21"/>
      <c r="J2432" s="21"/>
      <c r="K2432" s="21"/>
      <c r="L2432" s="21"/>
      <c r="M2432" s="7"/>
      <c r="N2432" s="7"/>
      <c r="O2432" s="7"/>
      <c r="P2432" s="7"/>
      <c r="Q2432" s="7"/>
      <c r="R2432" s="7"/>
      <c r="S2432" s="7"/>
      <c r="T2432" s="7"/>
      <c r="U2432" s="7"/>
      <c r="V2432" s="7"/>
      <c r="W2432" s="7"/>
      <c r="X2432" s="7"/>
      <c r="Y2432" s="7"/>
      <c r="Z2432" s="7"/>
      <c r="AA2432" s="7"/>
      <c r="AB2432" s="7"/>
      <c r="AC2432" s="7"/>
      <c r="AD2432" s="7"/>
      <c r="AE2432" s="7"/>
    </row>
    <row r="2433">
      <c r="A2433" s="7"/>
      <c r="B2433" s="21"/>
      <c r="C2433" s="21"/>
      <c r="D2433" s="21"/>
      <c r="E2433" s="21"/>
      <c r="F2433" s="21"/>
      <c r="G2433" s="21"/>
      <c r="H2433" s="21"/>
      <c r="I2433" s="21"/>
      <c r="J2433" s="21"/>
      <c r="K2433" s="21"/>
      <c r="L2433" s="21"/>
      <c r="M2433" s="7"/>
      <c r="N2433" s="7"/>
      <c r="O2433" s="7"/>
      <c r="P2433" s="7"/>
      <c r="Q2433" s="7"/>
      <c r="R2433" s="7"/>
      <c r="S2433" s="7"/>
      <c r="T2433" s="7"/>
      <c r="U2433" s="7"/>
      <c r="V2433" s="7"/>
      <c r="W2433" s="7"/>
      <c r="X2433" s="7"/>
      <c r="Y2433" s="7"/>
      <c r="Z2433" s="7"/>
      <c r="AA2433" s="7"/>
      <c r="AB2433" s="7"/>
      <c r="AC2433" s="7"/>
      <c r="AD2433" s="7"/>
      <c r="AE2433" s="7"/>
    </row>
    <row r="2434">
      <c r="A2434" s="7"/>
      <c r="B2434" s="21"/>
      <c r="C2434" s="21"/>
      <c r="D2434" s="21"/>
      <c r="E2434" s="21"/>
      <c r="F2434" s="21"/>
      <c r="G2434" s="21"/>
      <c r="H2434" s="21"/>
      <c r="I2434" s="21"/>
      <c r="J2434" s="21"/>
      <c r="K2434" s="21"/>
      <c r="L2434" s="21"/>
      <c r="M2434" s="7"/>
      <c r="N2434" s="7"/>
      <c r="O2434" s="7"/>
      <c r="P2434" s="7"/>
      <c r="Q2434" s="7"/>
      <c r="R2434" s="7"/>
      <c r="S2434" s="7"/>
      <c r="T2434" s="7"/>
      <c r="U2434" s="7"/>
      <c r="V2434" s="7"/>
      <c r="W2434" s="7"/>
      <c r="X2434" s="7"/>
      <c r="Y2434" s="7"/>
      <c r="Z2434" s="7"/>
      <c r="AA2434" s="7"/>
      <c r="AB2434" s="7"/>
      <c r="AC2434" s="7"/>
      <c r="AD2434" s="7"/>
      <c r="AE2434" s="7"/>
    </row>
    <row r="2435">
      <c r="A2435" s="7"/>
      <c r="B2435" s="21"/>
      <c r="C2435" s="21"/>
      <c r="D2435" s="21"/>
      <c r="E2435" s="21"/>
      <c r="F2435" s="21"/>
      <c r="G2435" s="21"/>
      <c r="H2435" s="21"/>
      <c r="I2435" s="21"/>
      <c r="J2435" s="21"/>
      <c r="K2435" s="21"/>
      <c r="L2435" s="21"/>
      <c r="M2435" s="7"/>
      <c r="N2435" s="7"/>
      <c r="O2435" s="7"/>
      <c r="P2435" s="7"/>
      <c r="Q2435" s="7"/>
      <c r="R2435" s="7"/>
      <c r="S2435" s="7"/>
      <c r="T2435" s="7"/>
      <c r="U2435" s="7"/>
      <c r="V2435" s="7"/>
      <c r="W2435" s="7"/>
      <c r="X2435" s="7"/>
      <c r="Y2435" s="7"/>
      <c r="Z2435" s="7"/>
      <c r="AA2435" s="7"/>
      <c r="AB2435" s="7"/>
      <c r="AC2435" s="7"/>
      <c r="AD2435" s="7"/>
      <c r="AE2435" s="7"/>
    </row>
    <row r="2436">
      <c r="A2436" s="7"/>
      <c r="B2436" s="21"/>
      <c r="C2436" s="21"/>
      <c r="D2436" s="21"/>
      <c r="E2436" s="21"/>
      <c r="F2436" s="21"/>
      <c r="G2436" s="21"/>
      <c r="H2436" s="21"/>
      <c r="I2436" s="21"/>
      <c r="J2436" s="21"/>
      <c r="K2436" s="21"/>
      <c r="L2436" s="21"/>
      <c r="M2436" s="7"/>
      <c r="N2436" s="7"/>
      <c r="O2436" s="7"/>
      <c r="P2436" s="7"/>
      <c r="Q2436" s="7"/>
      <c r="R2436" s="7"/>
      <c r="S2436" s="7"/>
      <c r="T2436" s="7"/>
      <c r="U2436" s="7"/>
      <c r="V2436" s="7"/>
      <c r="W2436" s="7"/>
      <c r="X2436" s="7"/>
      <c r="Y2436" s="7"/>
      <c r="Z2436" s="7"/>
      <c r="AA2436" s="7"/>
      <c r="AB2436" s="7"/>
      <c r="AC2436" s="7"/>
      <c r="AD2436" s="7"/>
      <c r="AE2436" s="7"/>
    </row>
    <row r="2437">
      <c r="A2437" s="7"/>
      <c r="B2437" s="21"/>
      <c r="C2437" s="21"/>
      <c r="D2437" s="21"/>
      <c r="E2437" s="21"/>
      <c r="F2437" s="21"/>
      <c r="G2437" s="21"/>
      <c r="H2437" s="21"/>
      <c r="I2437" s="21"/>
      <c r="J2437" s="21"/>
      <c r="K2437" s="21"/>
      <c r="L2437" s="21"/>
      <c r="M2437" s="7"/>
      <c r="N2437" s="7"/>
      <c r="O2437" s="7"/>
      <c r="P2437" s="7"/>
      <c r="Q2437" s="7"/>
      <c r="R2437" s="7"/>
      <c r="S2437" s="7"/>
      <c r="T2437" s="7"/>
      <c r="U2437" s="7"/>
      <c r="V2437" s="7"/>
      <c r="W2437" s="7"/>
      <c r="X2437" s="7"/>
      <c r="Y2437" s="7"/>
      <c r="Z2437" s="7"/>
      <c r="AA2437" s="7"/>
      <c r="AB2437" s="7"/>
      <c r="AC2437" s="7"/>
      <c r="AD2437" s="7"/>
      <c r="AE2437" s="7"/>
    </row>
    <row r="2438">
      <c r="A2438" s="7"/>
      <c r="B2438" s="21"/>
      <c r="C2438" s="21"/>
      <c r="D2438" s="21"/>
      <c r="E2438" s="21"/>
      <c r="F2438" s="21"/>
      <c r="G2438" s="21"/>
      <c r="H2438" s="21"/>
      <c r="I2438" s="21"/>
      <c r="J2438" s="21"/>
      <c r="K2438" s="21"/>
      <c r="L2438" s="21"/>
      <c r="M2438" s="7"/>
      <c r="N2438" s="7"/>
      <c r="O2438" s="7"/>
      <c r="P2438" s="7"/>
      <c r="Q2438" s="7"/>
      <c r="R2438" s="7"/>
      <c r="S2438" s="7"/>
      <c r="T2438" s="7"/>
      <c r="U2438" s="7"/>
      <c r="V2438" s="7"/>
      <c r="W2438" s="7"/>
      <c r="X2438" s="7"/>
      <c r="Y2438" s="7"/>
      <c r="Z2438" s="7"/>
      <c r="AA2438" s="7"/>
      <c r="AB2438" s="7"/>
      <c r="AC2438" s="7"/>
      <c r="AD2438" s="7"/>
      <c r="AE2438" s="7"/>
    </row>
    <row r="2439">
      <c r="A2439" s="7"/>
      <c r="B2439" s="21"/>
      <c r="C2439" s="21"/>
      <c r="D2439" s="21"/>
      <c r="E2439" s="21"/>
      <c r="F2439" s="21"/>
      <c r="G2439" s="21"/>
      <c r="H2439" s="21"/>
      <c r="I2439" s="21"/>
      <c r="J2439" s="21"/>
      <c r="K2439" s="21"/>
      <c r="L2439" s="21"/>
      <c r="M2439" s="7"/>
      <c r="N2439" s="7"/>
      <c r="O2439" s="7"/>
      <c r="P2439" s="7"/>
      <c r="Q2439" s="7"/>
      <c r="R2439" s="7"/>
      <c r="S2439" s="7"/>
      <c r="T2439" s="7"/>
      <c r="U2439" s="7"/>
      <c r="V2439" s="7"/>
      <c r="W2439" s="7"/>
      <c r="X2439" s="7"/>
      <c r="Y2439" s="7"/>
      <c r="Z2439" s="7"/>
      <c r="AA2439" s="7"/>
      <c r="AB2439" s="7"/>
      <c r="AC2439" s="7"/>
      <c r="AD2439" s="7"/>
      <c r="AE2439" s="7"/>
    </row>
    <row r="2440">
      <c r="A2440" s="7"/>
      <c r="B2440" s="21"/>
      <c r="C2440" s="21"/>
      <c r="D2440" s="21"/>
      <c r="E2440" s="21"/>
      <c r="F2440" s="21"/>
      <c r="G2440" s="21"/>
      <c r="H2440" s="21"/>
      <c r="I2440" s="21"/>
      <c r="J2440" s="21"/>
      <c r="K2440" s="21"/>
      <c r="L2440" s="21"/>
      <c r="M2440" s="7"/>
      <c r="N2440" s="7"/>
      <c r="O2440" s="7"/>
      <c r="P2440" s="7"/>
      <c r="Q2440" s="7"/>
      <c r="R2440" s="7"/>
      <c r="S2440" s="7"/>
      <c r="T2440" s="7"/>
      <c r="U2440" s="7"/>
      <c r="V2440" s="7"/>
      <c r="W2440" s="7"/>
      <c r="X2440" s="7"/>
      <c r="Y2440" s="7"/>
      <c r="Z2440" s="7"/>
      <c r="AA2440" s="7"/>
      <c r="AB2440" s="7"/>
      <c r="AC2440" s="7"/>
      <c r="AD2440" s="7"/>
      <c r="AE2440" s="7"/>
    </row>
    <row r="2441">
      <c r="A2441" s="7"/>
      <c r="B2441" s="21"/>
      <c r="C2441" s="21"/>
      <c r="D2441" s="21"/>
      <c r="E2441" s="21"/>
      <c r="F2441" s="21"/>
      <c r="G2441" s="21"/>
      <c r="H2441" s="21"/>
      <c r="I2441" s="21"/>
      <c r="J2441" s="21"/>
      <c r="K2441" s="21"/>
      <c r="L2441" s="21"/>
      <c r="M2441" s="7"/>
      <c r="N2441" s="7"/>
      <c r="O2441" s="7"/>
      <c r="P2441" s="7"/>
      <c r="Q2441" s="7"/>
      <c r="R2441" s="7"/>
      <c r="S2441" s="7"/>
      <c r="T2441" s="7"/>
      <c r="U2441" s="7"/>
      <c r="V2441" s="7"/>
      <c r="W2441" s="7"/>
      <c r="X2441" s="7"/>
      <c r="Y2441" s="7"/>
      <c r="Z2441" s="7"/>
      <c r="AA2441" s="7"/>
      <c r="AB2441" s="7"/>
      <c r="AC2441" s="7"/>
      <c r="AD2441" s="7"/>
      <c r="AE2441" s="7"/>
    </row>
    <row r="2442">
      <c r="A2442" s="7"/>
      <c r="B2442" s="21"/>
      <c r="C2442" s="21"/>
      <c r="D2442" s="21"/>
      <c r="E2442" s="21"/>
      <c r="F2442" s="21"/>
      <c r="G2442" s="21"/>
      <c r="H2442" s="21"/>
      <c r="I2442" s="21"/>
      <c r="J2442" s="21"/>
      <c r="K2442" s="21"/>
      <c r="L2442" s="21"/>
      <c r="M2442" s="7"/>
      <c r="N2442" s="7"/>
      <c r="O2442" s="7"/>
      <c r="P2442" s="7"/>
      <c r="Q2442" s="7"/>
      <c r="R2442" s="7"/>
      <c r="S2442" s="7"/>
      <c r="T2442" s="7"/>
      <c r="U2442" s="7"/>
      <c r="V2442" s="7"/>
      <c r="W2442" s="7"/>
      <c r="X2442" s="7"/>
      <c r="Y2442" s="7"/>
      <c r="Z2442" s="7"/>
      <c r="AA2442" s="7"/>
      <c r="AB2442" s="7"/>
      <c r="AC2442" s="7"/>
      <c r="AD2442" s="7"/>
      <c r="AE2442" s="7"/>
    </row>
    <row r="2443">
      <c r="A2443" s="7"/>
      <c r="B2443" s="21"/>
      <c r="C2443" s="21"/>
      <c r="D2443" s="21"/>
      <c r="E2443" s="21"/>
      <c r="F2443" s="21"/>
      <c r="G2443" s="21"/>
      <c r="H2443" s="21"/>
      <c r="I2443" s="21"/>
      <c r="J2443" s="21"/>
      <c r="K2443" s="21"/>
      <c r="L2443" s="21"/>
      <c r="M2443" s="7"/>
      <c r="N2443" s="7"/>
      <c r="O2443" s="7"/>
      <c r="P2443" s="7"/>
      <c r="Q2443" s="7"/>
      <c r="R2443" s="7"/>
      <c r="S2443" s="7"/>
      <c r="T2443" s="7"/>
      <c r="U2443" s="7"/>
      <c r="V2443" s="7"/>
      <c r="W2443" s="7"/>
      <c r="X2443" s="7"/>
      <c r="Y2443" s="7"/>
      <c r="Z2443" s="7"/>
      <c r="AA2443" s="7"/>
      <c r="AB2443" s="7"/>
      <c r="AC2443" s="7"/>
      <c r="AD2443" s="7"/>
      <c r="AE2443" s="7"/>
    </row>
    <row r="2444">
      <c r="A2444" s="7"/>
      <c r="B2444" s="21"/>
      <c r="C2444" s="21"/>
      <c r="D2444" s="21"/>
      <c r="E2444" s="21"/>
      <c r="F2444" s="21"/>
      <c r="G2444" s="21"/>
      <c r="H2444" s="21"/>
      <c r="I2444" s="21"/>
      <c r="J2444" s="21"/>
      <c r="K2444" s="21"/>
      <c r="L2444" s="21"/>
      <c r="M2444" s="7"/>
      <c r="N2444" s="7"/>
      <c r="O2444" s="7"/>
      <c r="P2444" s="7"/>
      <c r="Q2444" s="7"/>
      <c r="R2444" s="7"/>
      <c r="S2444" s="7"/>
      <c r="T2444" s="7"/>
      <c r="U2444" s="7"/>
      <c r="V2444" s="7"/>
      <c r="W2444" s="7"/>
      <c r="X2444" s="7"/>
      <c r="Y2444" s="7"/>
      <c r="Z2444" s="7"/>
      <c r="AA2444" s="7"/>
      <c r="AB2444" s="7"/>
      <c r="AC2444" s="7"/>
      <c r="AD2444" s="7"/>
      <c r="AE2444" s="7"/>
    </row>
    <row r="2445">
      <c r="A2445" s="7"/>
      <c r="B2445" s="21"/>
      <c r="C2445" s="21"/>
      <c r="D2445" s="21"/>
      <c r="E2445" s="21"/>
      <c r="F2445" s="21"/>
      <c r="G2445" s="21"/>
      <c r="H2445" s="21"/>
      <c r="I2445" s="21"/>
      <c r="J2445" s="21"/>
      <c r="K2445" s="21"/>
      <c r="L2445" s="21"/>
      <c r="M2445" s="7"/>
      <c r="N2445" s="7"/>
      <c r="O2445" s="7"/>
      <c r="P2445" s="7"/>
      <c r="Q2445" s="7"/>
      <c r="R2445" s="7"/>
      <c r="S2445" s="7"/>
      <c r="T2445" s="7"/>
      <c r="U2445" s="7"/>
      <c r="V2445" s="7"/>
      <c r="W2445" s="7"/>
      <c r="X2445" s="7"/>
      <c r="Y2445" s="7"/>
      <c r="Z2445" s="7"/>
      <c r="AA2445" s="7"/>
      <c r="AB2445" s="7"/>
      <c r="AC2445" s="7"/>
      <c r="AD2445" s="7"/>
      <c r="AE2445" s="7"/>
    </row>
    <row r="2446">
      <c r="A2446" s="7"/>
      <c r="B2446" s="21"/>
      <c r="C2446" s="21"/>
      <c r="D2446" s="21"/>
      <c r="E2446" s="21"/>
      <c r="F2446" s="21"/>
      <c r="G2446" s="21"/>
      <c r="H2446" s="21"/>
      <c r="I2446" s="21"/>
      <c r="J2446" s="21"/>
      <c r="K2446" s="21"/>
      <c r="L2446" s="21"/>
      <c r="M2446" s="7"/>
      <c r="N2446" s="7"/>
      <c r="O2446" s="7"/>
      <c r="P2446" s="7"/>
      <c r="Q2446" s="7"/>
      <c r="R2446" s="7"/>
      <c r="S2446" s="7"/>
      <c r="T2446" s="7"/>
      <c r="U2446" s="7"/>
      <c r="V2446" s="7"/>
      <c r="W2446" s="7"/>
      <c r="X2446" s="7"/>
      <c r="Y2446" s="7"/>
      <c r="Z2446" s="7"/>
      <c r="AA2446" s="7"/>
      <c r="AB2446" s="7"/>
      <c r="AC2446" s="7"/>
      <c r="AD2446" s="7"/>
      <c r="AE2446" s="7"/>
    </row>
    <row r="2447">
      <c r="A2447" s="7"/>
      <c r="B2447" s="21"/>
      <c r="C2447" s="21"/>
      <c r="D2447" s="21"/>
      <c r="E2447" s="21"/>
      <c r="F2447" s="21"/>
      <c r="G2447" s="21"/>
      <c r="H2447" s="21"/>
      <c r="I2447" s="21"/>
      <c r="J2447" s="21"/>
      <c r="K2447" s="21"/>
      <c r="L2447" s="21"/>
      <c r="M2447" s="7"/>
      <c r="N2447" s="7"/>
      <c r="O2447" s="7"/>
      <c r="P2447" s="7"/>
      <c r="Q2447" s="7"/>
      <c r="R2447" s="7"/>
      <c r="S2447" s="7"/>
      <c r="T2447" s="7"/>
      <c r="U2447" s="7"/>
      <c r="V2447" s="7"/>
      <c r="W2447" s="7"/>
      <c r="X2447" s="7"/>
      <c r="Y2447" s="7"/>
      <c r="Z2447" s="7"/>
      <c r="AA2447" s="7"/>
      <c r="AB2447" s="7"/>
      <c r="AC2447" s="7"/>
      <c r="AD2447" s="7"/>
      <c r="AE2447" s="7"/>
    </row>
    <row r="2448">
      <c r="A2448" s="7"/>
      <c r="B2448" s="21"/>
      <c r="C2448" s="21"/>
      <c r="D2448" s="21"/>
      <c r="E2448" s="21"/>
      <c r="F2448" s="21"/>
      <c r="G2448" s="21"/>
      <c r="H2448" s="21"/>
      <c r="I2448" s="21"/>
      <c r="J2448" s="21"/>
      <c r="K2448" s="21"/>
      <c r="L2448" s="21"/>
      <c r="M2448" s="7"/>
      <c r="N2448" s="7"/>
      <c r="O2448" s="7"/>
      <c r="P2448" s="7"/>
      <c r="Q2448" s="7"/>
      <c r="R2448" s="7"/>
      <c r="S2448" s="7"/>
      <c r="T2448" s="7"/>
      <c r="U2448" s="7"/>
      <c r="V2448" s="7"/>
      <c r="W2448" s="7"/>
      <c r="X2448" s="7"/>
      <c r="Y2448" s="7"/>
      <c r="Z2448" s="7"/>
      <c r="AA2448" s="7"/>
      <c r="AB2448" s="7"/>
      <c r="AC2448" s="7"/>
      <c r="AD2448" s="7"/>
      <c r="AE2448" s="7"/>
    </row>
    <row r="2449">
      <c r="A2449" s="7"/>
      <c r="B2449" s="21"/>
      <c r="C2449" s="21"/>
      <c r="D2449" s="21"/>
      <c r="E2449" s="21"/>
      <c r="F2449" s="21"/>
      <c r="G2449" s="21"/>
      <c r="H2449" s="21"/>
      <c r="I2449" s="21"/>
      <c r="J2449" s="21"/>
      <c r="K2449" s="21"/>
      <c r="L2449" s="21"/>
      <c r="M2449" s="7"/>
      <c r="N2449" s="7"/>
      <c r="O2449" s="7"/>
      <c r="P2449" s="7"/>
      <c r="Q2449" s="7"/>
      <c r="R2449" s="7"/>
      <c r="S2449" s="7"/>
      <c r="T2449" s="7"/>
      <c r="U2449" s="7"/>
      <c r="V2449" s="7"/>
      <c r="W2449" s="7"/>
      <c r="X2449" s="7"/>
      <c r="Y2449" s="7"/>
      <c r="Z2449" s="7"/>
      <c r="AA2449" s="7"/>
      <c r="AB2449" s="7"/>
      <c r="AC2449" s="7"/>
      <c r="AD2449" s="7"/>
      <c r="AE2449" s="7"/>
    </row>
    <row r="2450">
      <c r="A2450" s="7"/>
      <c r="B2450" s="21"/>
      <c r="C2450" s="21"/>
      <c r="D2450" s="21"/>
      <c r="E2450" s="21"/>
      <c r="F2450" s="21"/>
      <c r="G2450" s="21"/>
      <c r="H2450" s="21"/>
      <c r="I2450" s="21"/>
      <c r="J2450" s="21"/>
      <c r="K2450" s="21"/>
      <c r="L2450" s="21"/>
      <c r="M2450" s="7"/>
      <c r="N2450" s="7"/>
      <c r="O2450" s="7"/>
      <c r="P2450" s="7"/>
      <c r="Q2450" s="7"/>
      <c r="R2450" s="7"/>
      <c r="S2450" s="7"/>
      <c r="T2450" s="7"/>
      <c r="U2450" s="7"/>
      <c r="V2450" s="7"/>
      <c r="W2450" s="7"/>
      <c r="X2450" s="7"/>
      <c r="Y2450" s="7"/>
      <c r="Z2450" s="7"/>
      <c r="AA2450" s="7"/>
      <c r="AB2450" s="7"/>
      <c r="AC2450" s="7"/>
      <c r="AD2450" s="7"/>
      <c r="AE2450" s="7"/>
    </row>
    <row r="2451">
      <c r="A2451" s="7"/>
      <c r="B2451" s="21"/>
      <c r="C2451" s="21"/>
      <c r="D2451" s="21"/>
      <c r="E2451" s="21"/>
      <c r="F2451" s="21"/>
      <c r="G2451" s="21"/>
      <c r="H2451" s="21"/>
      <c r="I2451" s="21"/>
      <c r="J2451" s="21"/>
      <c r="K2451" s="21"/>
      <c r="L2451" s="21"/>
      <c r="M2451" s="7"/>
      <c r="N2451" s="7"/>
      <c r="O2451" s="7"/>
      <c r="P2451" s="7"/>
      <c r="Q2451" s="7"/>
      <c r="R2451" s="7"/>
      <c r="S2451" s="7"/>
      <c r="T2451" s="7"/>
      <c r="U2451" s="7"/>
      <c r="V2451" s="7"/>
      <c r="W2451" s="7"/>
      <c r="X2451" s="7"/>
      <c r="Y2451" s="7"/>
      <c r="Z2451" s="7"/>
      <c r="AA2451" s="7"/>
      <c r="AB2451" s="7"/>
      <c r="AC2451" s="7"/>
      <c r="AD2451" s="7"/>
      <c r="AE2451" s="7"/>
    </row>
    <row r="2452">
      <c r="A2452" s="7"/>
      <c r="B2452" s="21"/>
      <c r="C2452" s="21"/>
      <c r="D2452" s="21"/>
      <c r="E2452" s="21"/>
      <c r="F2452" s="21"/>
      <c r="G2452" s="21"/>
      <c r="H2452" s="21"/>
      <c r="I2452" s="21"/>
      <c r="J2452" s="21"/>
      <c r="K2452" s="21"/>
      <c r="L2452" s="21"/>
      <c r="M2452" s="7"/>
      <c r="N2452" s="7"/>
      <c r="O2452" s="7"/>
      <c r="P2452" s="7"/>
      <c r="Q2452" s="7"/>
      <c r="R2452" s="7"/>
      <c r="S2452" s="7"/>
      <c r="T2452" s="7"/>
      <c r="U2452" s="7"/>
      <c r="V2452" s="7"/>
      <c r="W2452" s="7"/>
      <c r="X2452" s="7"/>
      <c r="Y2452" s="7"/>
      <c r="Z2452" s="7"/>
      <c r="AA2452" s="7"/>
      <c r="AB2452" s="7"/>
      <c r="AC2452" s="7"/>
      <c r="AD2452" s="7"/>
      <c r="AE2452" s="7"/>
    </row>
    <row r="2453">
      <c r="A2453" s="7"/>
      <c r="B2453" s="21"/>
      <c r="C2453" s="21"/>
      <c r="D2453" s="21"/>
      <c r="E2453" s="21"/>
      <c r="F2453" s="21"/>
      <c r="G2453" s="21"/>
      <c r="H2453" s="21"/>
      <c r="I2453" s="21"/>
      <c r="J2453" s="21"/>
      <c r="K2453" s="21"/>
      <c r="L2453" s="21"/>
      <c r="M2453" s="7"/>
      <c r="N2453" s="7"/>
      <c r="O2453" s="7"/>
      <c r="P2453" s="7"/>
      <c r="Q2453" s="7"/>
      <c r="R2453" s="7"/>
      <c r="S2453" s="7"/>
      <c r="T2453" s="7"/>
      <c r="U2453" s="7"/>
      <c r="V2453" s="7"/>
      <c r="W2453" s="7"/>
      <c r="X2453" s="7"/>
      <c r="Y2453" s="7"/>
      <c r="Z2453" s="7"/>
      <c r="AA2453" s="7"/>
      <c r="AB2453" s="7"/>
      <c r="AC2453" s="7"/>
      <c r="AD2453" s="7"/>
      <c r="AE2453" s="7"/>
    </row>
    <row r="2454">
      <c r="A2454" s="7"/>
      <c r="B2454" s="21"/>
      <c r="C2454" s="21"/>
      <c r="D2454" s="21"/>
      <c r="E2454" s="21"/>
      <c r="F2454" s="21"/>
      <c r="G2454" s="21"/>
      <c r="H2454" s="21"/>
      <c r="I2454" s="21"/>
      <c r="J2454" s="21"/>
      <c r="K2454" s="21"/>
      <c r="L2454" s="21"/>
      <c r="M2454" s="7"/>
      <c r="N2454" s="7"/>
      <c r="O2454" s="7"/>
      <c r="P2454" s="7"/>
      <c r="Q2454" s="7"/>
      <c r="R2454" s="7"/>
      <c r="S2454" s="7"/>
      <c r="T2454" s="7"/>
      <c r="U2454" s="7"/>
      <c r="V2454" s="7"/>
      <c r="W2454" s="7"/>
      <c r="X2454" s="7"/>
      <c r="Y2454" s="7"/>
      <c r="Z2454" s="7"/>
      <c r="AA2454" s="7"/>
      <c r="AB2454" s="7"/>
      <c r="AC2454" s="7"/>
      <c r="AD2454" s="7"/>
      <c r="AE2454" s="7"/>
    </row>
    <row r="2455">
      <c r="A2455" s="7"/>
      <c r="B2455" s="21"/>
      <c r="C2455" s="21"/>
      <c r="D2455" s="21"/>
      <c r="E2455" s="21"/>
      <c r="F2455" s="21"/>
      <c r="G2455" s="21"/>
      <c r="H2455" s="21"/>
      <c r="I2455" s="21"/>
      <c r="J2455" s="21"/>
      <c r="K2455" s="21"/>
      <c r="L2455" s="21"/>
      <c r="M2455" s="7"/>
      <c r="N2455" s="7"/>
      <c r="O2455" s="7"/>
      <c r="P2455" s="7"/>
      <c r="Q2455" s="7"/>
      <c r="R2455" s="7"/>
      <c r="S2455" s="7"/>
      <c r="T2455" s="7"/>
      <c r="U2455" s="7"/>
      <c r="V2455" s="7"/>
      <c r="W2455" s="7"/>
      <c r="X2455" s="7"/>
      <c r="Y2455" s="7"/>
      <c r="Z2455" s="7"/>
      <c r="AA2455" s="7"/>
      <c r="AB2455" s="7"/>
      <c r="AC2455" s="7"/>
      <c r="AD2455" s="7"/>
      <c r="AE2455" s="7"/>
    </row>
    <row r="2456">
      <c r="A2456" s="7"/>
      <c r="B2456" s="21"/>
      <c r="C2456" s="21"/>
      <c r="D2456" s="21"/>
      <c r="E2456" s="21"/>
      <c r="F2456" s="21"/>
      <c r="G2456" s="21"/>
      <c r="H2456" s="21"/>
      <c r="I2456" s="21"/>
      <c r="J2456" s="21"/>
      <c r="K2456" s="21"/>
      <c r="L2456" s="21"/>
      <c r="M2456" s="7"/>
      <c r="N2456" s="7"/>
      <c r="O2456" s="7"/>
      <c r="P2456" s="7"/>
      <c r="Q2456" s="7"/>
      <c r="R2456" s="7"/>
      <c r="S2456" s="7"/>
      <c r="T2456" s="7"/>
      <c r="U2456" s="7"/>
      <c r="V2456" s="7"/>
      <c r="W2456" s="7"/>
      <c r="X2456" s="7"/>
      <c r="Y2456" s="7"/>
      <c r="Z2456" s="7"/>
      <c r="AA2456" s="7"/>
      <c r="AB2456" s="7"/>
      <c r="AC2456" s="7"/>
      <c r="AD2456" s="7"/>
      <c r="AE2456" s="7"/>
    </row>
    <row r="2457">
      <c r="A2457" s="7"/>
      <c r="B2457" s="21"/>
      <c r="C2457" s="21"/>
      <c r="D2457" s="21"/>
      <c r="E2457" s="21"/>
      <c r="F2457" s="21"/>
      <c r="G2457" s="21"/>
      <c r="H2457" s="21"/>
      <c r="I2457" s="21"/>
      <c r="J2457" s="21"/>
      <c r="K2457" s="21"/>
      <c r="L2457" s="21"/>
      <c r="M2457" s="7"/>
      <c r="N2457" s="7"/>
      <c r="O2457" s="7"/>
      <c r="P2457" s="7"/>
      <c r="Q2457" s="7"/>
      <c r="R2457" s="7"/>
      <c r="S2457" s="7"/>
      <c r="T2457" s="7"/>
      <c r="U2457" s="7"/>
      <c r="V2457" s="7"/>
      <c r="W2457" s="7"/>
      <c r="X2457" s="7"/>
      <c r="Y2457" s="7"/>
      <c r="Z2457" s="7"/>
      <c r="AA2457" s="7"/>
      <c r="AB2457" s="7"/>
      <c r="AC2457" s="7"/>
      <c r="AD2457" s="7"/>
      <c r="AE2457" s="7"/>
    </row>
    <row r="2458">
      <c r="A2458" s="7"/>
      <c r="B2458" s="21"/>
      <c r="C2458" s="21"/>
      <c r="D2458" s="21"/>
      <c r="E2458" s="21"/>
      <c r="F2458" s="21"/>
      <c r="G2458" s="21"/>
      <c r="H2458" s="21"/>
      <c r="I2458" s="21"/>
      <c r="J2458" s="21"/>
      <c r="K2458" s="21"/>
      <c r="L2458" s="21"/>
      <c r="M2458" s="7"/>
      <c r="N2458" s="7"/>
      <c r="O2458" s="7"/>
      <c r="P2458" s="7"/>
      <c r="Q2458" s="7"/>
      <c r="R2458" s="7"/>
      <c r="S2458" s="7"/>
      <c r="T2458" s="7"/>
      <c r="U2458" s="7"/>
      <c r="V2458" s="7"/>
      <c r="W2458" s="7"/>
      <c r="X2458" s="7"/>
      <c r="Y2458" s="7"/>
      <c r="Z2458" s="7"/>
      <c r="AA2458" s="7"/>
      <c r="AB2458" s="7"/>
      <c r="AC2458" s="7"/>
      <c r="AD2458" s="7"/>
      <c r="AE2458" s="7"/>
    </row>
    <row r="2459">
      <c r="A2459" s="7"/>
      <c r="B2459" s="21"/>
      <c r="C2459" s="21"/>
      <c r="D2459" s="21"/>
      <c r="E2459" s="21"/>
      <c r="F2459" s="21"/>
      <c r="G2459" s="21"/>
      <c r="H2459" s="21"/>
      <c r="I2459" s="21"/>
      <c r="J2459" s="21"/>
      <c r="K2459" s="21"/>
      <c r="L2459" s="21"/>
      <c r="M2459" s="7"/>
      <c r="N2459" s="7"/>
      <c r="O2459" s="7"/>
      <c r="P2459" s="7"/>
      <c r="Q2459" s="7"/>
      <c r="R2459" s="7"/>
      <c r="S2459" s="7"/>
      <c r="T2459" s="7"/>
      <c r="U2459" s="7"/>
      <c r="V2459" s="7"/>
      <c r="W2459" s="7"/>
      <c r="X2459" s="7"/>
      <c r="Y2459" s="7"/>
      <c r="Z2459" s="7"/>
      <c r="AA2459" s="7"/>
      <c r="AB2459" s="7"/>
      <c r="AC2459" s="7"/>
      <c r="AD2459" s="7"/>
      <c r="AE2459" s="7"/>
    </row>
    <row r="2460">
      <c r="A2460" s="7"/>
      <c r="B2460" s="21"/>
      <c r="C2460" s="21"/>
      <c r="D2460" s="21"/>
      <c r="E2460" s="21"/>
      <c r="F2460" s="21"/>
      <c r="G2460" s="21"/>
      <c r="H2460" s="21"/>
      <c r="I2460" s="21"/>
      <c r="J2460" s="21"/>
      <c r="K2460" s="21"/>
      <c r="L2460" s="21"/>
      <c r="M2460" s="7"/>
      <c r="N2460" s="7"/>
      <c r="O2460" s="7"/>
      <c r="P2460" s="7"/>
      <c r="Q2460" s="7"/>
      <c r="R2460" s="7"/>
      <c r="S2460" s="7"/>
      <c r="T2460" s="7"/>
      <c r="U2460" s="7"/>
      <c r="V2460" s="7"/>
      <c r="W2460" s="7"/>
      <c r="X2460" s="7"/>
      <c r="Y2460" s="7"/>
      <c r="Z2460" s="7"/>
      <c r="AA2460" s="7"/>
      <c r="AB2460" s="7"/>
      <c r="AC2460" s="7"/>
      <c r="AD2460" s="7"/>
      <c r="AE2460" s="7"/>
    </row>
    <row r="2461">
      <c r="A2461" s="7"/>
      <c r="B2461" s="21"/>
      <c r="C2461" s="21"/>
      <c r="D2461" s="21"/>
      <c r="E2461" s="21"/>
      <c r="F2461" s="21"/>
      <c r="G2461" s="21"/>
      <c r="H2461" s="21"/>
      <c r="I2461" s="21"/>
      <c r="J2461" s="21"/>
      <c r="K2461" s="21"/>
      <c r="L2461" s="21"/>
      <c r="M2461" s="7"/>
      <c r="N2461" s="7"/>
      <c r="O2461" s="7"/>
      <c r="P2461" s="7"/>
      <c r="Q2461" s="7"/>
      <c r="R2461" s="7"/>
      <c r="S2461" s="7"/>
      <c r="T2461" s="7"/>
      <c r="U2461" s="7"/>
      <c r="V2461" s="7"/>
      <c r="W2461" s="7"/>
      <c r="X2461" s="7"/>
      <c r="Y2461" s="7"/>
      <c r="Z2461" s="7"/>
      <c r="AA2461" s="7"/>
      <c r="AB2461" s="7"/>
      <c r="AC2461" s="7"/>
      <c r="AD2461" s="7"/>
      <c r="AE2461" s="7"/>
    </row>
    <row r="2462">
      <c r="A2462" s="7"/>
      <c r="B2462" s="21"/>
      <c r="C2462" s="21"/>
      <c r="D2462" s="21"/>
      <c r="E2462" s="21"/>
      <c r="F2462" s="21"/>
      <c r="G2462" s="21"/>
      <c r="H2462" s="21"/>
      <c r="I2462" s="21"/>
      <c r="J2462" s="21"/>
      <c r="K2462" s="21"/>
      <c r="L2462" s="21"/>
      <c r="M2462" s="7"/>
      <c r="N2462" s="7"/>
      <c r="O2462" s="7"/>
      <c r="P2462" s="7"/>
      <c r="Q2462" s="7"/>
      <c r="R2462" s="7"/>
      <c r="S2462" s="7"/>
      <c r="T2462" s="7"/>
      <c r="U2462" s="7"/>
      <c r="V2462" s="7"/>
      <c r="W2462" s="7"/>
      <c r="X2462" s="7"/>
      <c r="Y2462" s="7"/>
      <c r="Z2462" s="7"/>
      <c r="AA2462" s="7"/>
      <c r="AB2462" s="7"/>
      <c r="AC2462" s="7"/>
      <c r="AD2462" s="7"/>
      <c r="AE2462" s="7"/>
    </row>
    <row r="2463">
      <c r="A2463" s="7"/>
      <c r="B2463" s="21"/>
      <c r="C2463" s="21"/>
      <c r="D2463" s="21"/>
      <c r="E2463" s="21"/>
      <c r="F2463" s="21"/>
      <c r="G2463" s="21"/>
      <c r="H2463" s="21"/>
      <c r="I2463" s="21"/>
      <c r="J2463" s="21"/>
      <c r="K2463" s="21"/>
      <c r="L2463" s="21"/>
      <c r="M2463" s="7"/>
      <c r="N2463" s="7"/>
      <c r="O2463" s="7"/>
      <c r="P2463" s="7"/>
      <c r="Q2463" s="7"/>
      <c r="R2463" s="7"/>
      <c r="S2463" s="7"/>
      <c r="T2463" s="7"/>
      <c r="U2463" s="7"/>
      <c r="V2463" s="7"/>
      <c r="W2463" s="7"/>
      <c r="X2463" s="7"/>
      <c r="Y2463" s="7"/>
      <c r="Z2463" s="7"/>
      <c r="AA2463" s="7"/>
      <c r="AB2463" s="7"/>
      <c r="AC2463" s="7"/>
      <c r="AD2463" s="7"/>
      <c r="AE2463" s="7"/>
    </row>
    <row r="2464">
      <c r="A2464" s="7"/>
      <c r="B2464" s="21"/>
      <c r="C2464" s="21"/>
      <c r="D2464" s="21"/>
      <c r="E2464" s="21"/>
      <c r="F2464" s="21"/>
      <c r="G2464" s="21"/>
      <c r="H2464" s="21"/>
      <c r="I2464" s="21"/>
      <c r="J2464" s="21"/>
      <c r="K2464" s="21"/>
      <c r="L2464" s="21"/>
      <c r="M2464" s="7"/>
      <c r="N2464" s="7"/>
      <c r="O2464" s="7"/>
      <c r="P2464" s="7"/>
      <c r="Q2464" s="7"/>
      <c r="R2464" s="7"/>
      <c r="S2464" s="7"/>
      <c r="T2464" s="7"/>
      <c r="U2464" s="7"/>
      <c r="V2464" s="7"/>
      <c r="W2464" s="7"/>
      <c r="X2464" s="7"/>
      <c r="Y2464" s="7"/>
      <c r="Z2464" s="7"/>
      <c r="AA2464" s="7"/>
      <c r="AB2464" s="7"/>
      <c r="AC2464" s="7"/>
      <c r="AD2464" s="7"/>
      <c r="AE2464" s="7"/>
    </row>
    <row r="2465">
      <c r="A2465" s="7"/>
      <c r="B2465" s="21"/>
      <c r="C2465" s="21"/>
      <c r="D2465" s="21"/>
      <c r="E2465" s="21"/>
      <c r="F2465" s="21"/>
      <c r="G2465" s="21"/>
      <c r="H2465" s="21"/>
      <c r="I2465" s="21"/>
      <c r="J2465" s="21"/>
      <c r="K2465" s="21"/>
      <c r="L2465" s="21"/>
      <c r="M2465" s="7"/>
      <c r="N2465" s="7"/>
      <c r="O2465" s="7"/>
      <c r="P2465" s="7"/>
      <c r="Q2465" s="7"/>
      <c r="R2465" s="7"/>
      <c r="S2465" s="7"/>
      <c r="T2465" s="7"/>
      <c r="U2465" s="7"/>
      <c r="V2465" s="7"/>
      <c r="W2465" s="7"/>
      <c r="X2465" s="7"/>
      <c r="Y2465" s="7"/>
      <c r="Z2465" s="7"/>
      <c r="AA2465" s="7"/>
      <c r="AB2465" s="7"/>
      <c r="AC2465" s="7"/>
      <c r="AD2465" s="7"/>
      <c r="AE2465" s="7"/>
    </row>
    <row r="2466">
      <c r="A2466" s="7"/>
      <c r="B2466" s="21"/>
      <c r="C2466" s="21"/>
      <c r="D2466" s="21"/>
      <c r="E2466" s="21"/>
      <c r="F2466" s="21"/>
      <c r="G2466" s="21"/>
      <c r="H2466" s="21"/>
      <c r="I2466" s="21"/>
      <c r="J2466" s="21"/>
      <c r="K2466" s="21"/>
      <c r="L2466" s="21"/>
      <c r="M2466" s="7"/>
      <c r="N2466" s="7"/>
      <c r="O2466" s="7"/>
      <c r="P2466" s="7"/>
      <c r="Q2466" s="7"/>
      <c r="R2466" s="7"/>
      <c r="S2466" s="7"/>
      <c r="T2466" s="7"/>
      <c r="U2466" s="7"/>
      <c r="V2466" s="7"/>
      <c r="W2466" s="7"/>
      <c r="X2466" s="7"/>
      <c r="Y2466" s="7"/>
      <c r="Z2466" s="7"/>
      <c r="AA2466" s="7"/>
      <c r="AB2466" s="7"/>
      <c r="AC2466" s="7"/>
      <c r="AD2466" s="7"/>
      <c r="AE2466" s="7"/>
    </row>
    <row r="2467">
      <c r="A2467" s="7"/>
      <c r="B2467" s="21"/>
      <c r="C2467" s="21"/>
      <c r="D2467" s="21"/>
      <c r="E2467" s="21"/>
      <c r="F2467" s="21"/>
      <c r="G2467" s="21"/>
      <c r="H2467" s="21"/>
      <c r="I2467" s="21"/>
      <c r="J2467" s="21"/>
      <c r="K2467" s="21"/>
      <c r="L2467" s="21"/>
      <c r="M2467" s="7"/>
      <c r="N2467" s="7"/>
      <c r="O2467" s="7"/>
      <c r="P2467" s="7"/>
      <c r="Q2467" s="7"/>
      <c r="R2467" s="7"/>
      <c r="S2467" s="7"/>
      <c r="T2467" s="7"/>
      <c r="U2467" s="7"/>
      <c r="V2467" s="7"/>
      <c r="W2467" s="7"/>
      <c r="X2467" s="7"/>
      <c r="Y2467" s="7"/>
      <c r="Z2467" s="7"/>
      <c r="AA2467" s="7"/>
      <c r="AB2467" s="7"/>
      <c r="AC2467" s="7"/>
      <c r="AD2467" s="7"/>
      <c r="AE2467" s="7"/>
    </row>
    <row r="2468">
      <c r="A2468" s="7"/>
      <c r="B2468" s="21"/>
      <c r="C2468" s="21"/>
      <c r="D2468" s="21"/>
      <c r="E2468" s="21"/>
      <c r="F2468" s="21"/>
      <c r="G2468" s="21"/>
      <c r="H2468" s="21"/>
      <c r="I2468" s="21"/>
      <c r="J2468" s="21"/>
      <c r="K2468" s="21"/>
      <c r="L2468" s="21"/>
      <c r="M2468" s="7"/>
      <c r="N2468" s="7"/>
      <c r="O2468" s="7"/>
      <c r="P2468" s="7"/>
      <c r="Q2468" s="7"/>
      <c r="R2468" s="7"/>
      <c r="S2468" s="7"/>
      <c r="T2468" s="7"/>
      <c r="U2468" s="7"/>
      <c r="V2468" s="7"/>
      <c r="W2468" s="7"/>
      <c r="X2468" s="7"/>
      <c r="Y2468" s="7"/>
      <c r="Z2468" s="7"/>
      <c r="AA2468" s="7"/>
      <c r="AB2468" s="7"/>
      <c r="AC2468" s="7"/>
      <c r="AD2468" s="7"/>
      <c r="AE2468" s="7"/>
    </row>
    <row r="2469">
      <c r="A2469" s="7"/>
      <c r="B2469" s="21"/>
      <c r="C2469" s="21"/>
      <c r="D2469" s="21"/>
      <c r="E2469" s="21"/>
      <c r="F2469" s="21"/>
      <c r="G2469" s="21"/>
      <c r="H2469" s="21"/>
      <c r="I2469" s="21"/>
      <c r="J2469" s="21"/>
      <c r="K2469" s="21"/>
      <c r="L2469" s="21"/>
      <c r="M2469" s="7"/>
      <c r="N2469" s="7"/>
      <c r="O2469" s="7"/>
      <c r="P2469" s="7"/>
      <c r="Q2469" s="7"/>
      <c r="R2469" s="7"/>
      <c r="S2469" s="7"/>
      <c r="T2469" s="7"/>
      <c r="U2469" s="7"/>
      <c r="V2469" s="7"/>
      <c r="W2469" s="7"/>
      <c r="X2469" s="7"/>
      <c r="Y2469" s="7"/>
      <c r="Z2469" s="7"/>
      <c r="AA2469" s="7"/>
      <c r="AB2469" s="7"/>
      <c r="AC2469" s="7"/>
      <c r="AD2469" s="7"/>
      <c r="AE2469" s="7"/>
    </row>
    <row r="2470">
      <c r="A2470" s="7"/>
      <c r="B2470" s="21"/>
      <c r="C2470" s="21"/>
      <c r="D2470" s="21"/>
      <c r="E2470" s="21"/>
      <c r="F2470" s="21"/>
      <c r="G2470" s="21"/>
      <c r="H2470" s="21"/>
      <c r="I2470" s="21"/>
      <c r="J2470" s="21"/>
      <c r="K2470" s="21"/>
      <c r="L2470" s="21"/>
      <c r="M2470" s="7"/>
      <c r="N2470" s="7"/>
      <c r="O2470" s="7"/>
      <c r="P2470" s="7"/>
      <c r="Q2470" s="7"/>
      <c r="R2470" s="7"/>
      <c r="S2470" s="7"/>
      <c r="T2470" s="7"/>
      <c r="U2470" s="7"/>
      <c r="V2470" s="7"/>
      <c r="W2470" s="7"/>
      <c r="X2470" s="7"/>
      <c r="Y2470" s="7"/>
      <c r="Z2470" s="7"/>
      <c r="AA2470" s="7"/>
      <c r="AB2470" s="7"/>
      <c r="AC2470" s="7"/>
      <c r="AD2470" s="7"/>
      <c r="AE2470" s="7"/>
    </row>
    <row r="2471">
      <c r="A2471" s="7"/>
      <c r="B2471" s="21"/>
      <c r="C2471" s="21"/>
      <c r="D2471" s="21"/>
      <c r="E2471" s="21"/>
      <c r="F2471" s="21"/>
      <c r="G2471" s="21"/>
      <c r="H2471" s="21"/>
      <c r="I2471" s="21"/>
      <c r="J2471" s="21"/>
      <c r="K2471" s="21"/>
      <c r="L2471" s="21"/>
      <c r="M2471" s="7"/>
      <c r="N2471" s="7"/>
      <c r="O2471" s="7"/>
      <c r="P2471" s="7"/>
      <c r="Q2471" s="7"/>
      <c r="R2471" s="7"/>
      <c r="S2471" s="7"/>
      <c r="T2471" s="7"/>
      <c r="U2471" s="7"/>
      <c r="V2471" s="7"/>
      <c r="W2471" s="7"/>
      <c r="X2471" s="7"/>
      <c r="Y2471" s="7"/>
      <c r="Z2471" s="7"/>
      <c r="AA2471" s="7"/>
      <c r="AB2471" s="7"/>
      <c r="AC2471" s="7"/>
      <c r="AD2471" s="7"/>
      <c r="AE2471" s="7"/>
    </row>
    <row r="2472">
      <c r="A2472" s="7"/>
      <c r="B2472" s="21"/>
      <c r="C2472" s="21"/>
      <c r="D2472" s="21"/>
      <c r="E2472" s="21"/>
      <c r="F2472" s="21"/>
      <c r="G2472" s="21"/>
      <c r="H2472" s="21"/>
      <c r="I2472" s="21"/>
      <c r="J2472" s="21"/>
      <c r="K2472" s="21"/>
      <c r="L2472" s="21"/>
      <c r="M2472" s="7"/>
      <c r="N2472" s="7"/>
      <c r="O2472" s="7"/>
      <c r="P2472" s="7"/>
      <c r="Q2472" s="7"/>
      <c r="R2472" s="7"/>
      <c r="S2472" s="7"/>
      <c r="T2472" s="7"/>
      <c r="U2472" s="7"/>
      <c r="V2472" s="7"/>
      <c r="W2472" s="7"/>
      <c r="X2472" s="7"/>
      <c r="Y2472" s="7"/>
      <c r="Z2472" s="7"/>
      <c r="AA2472" s="7"/>
      <c r="AB2472" s="7"/>
      <c r="AC2472" s="7"/>
      <c r="AD2472" s="7"/>
      <c r="AE2472" s="7"/>
    </row>
    <row r="2473">
      <c r="A2473" s="7"/>
      <c r="B2473" s="21"/>
      <c r="C2473" s="21"/>
      <c r="D2473" s="21"/>
      <c r="E2473" s="21"/>
      <c r="F2473" s="21"/>
      <c r="G2473" s="21"/>
      <c r="H2473" s="21"/>
      <c r="I2473" s="21"/>
      <c r="J2473" s="21"/>
      <c r="K2473" s="21"/>
      <c r="L2473" s="21"/>
      <c r="M2473" s="7"/>
      <c r="N2473" s="7"/>
      <c r="O2473" s="7"/>
      <c r="P2473" s="7"/>
      <c r="Q2473" s="7"/>
      <c r="R2473" s="7"/>
      <c r="S2473" s="7"/>
      <c r="T2473" s="7"/>
      <c r="U2473" s="7"/>
      <c r="V2473" s="7"/>
      <c r="W2473" s="7"/>
      <c r="X2473" s="7"/>
      <c r="Y2473" s="7"/>
      <c r="Z2473" s="7"/>
      <c r="AA2473" s="7"/>
      <c r="AB2473" s="7"/>
      <c r="AC2473" s="7"/>
      <c r="AD2473" s="7"/>
      <c r="AE2473" s="7"/>
    </row>
    <row r="2474">
      <c r="A2474" s="7"/>
      <c r="B2474" s="21"/>
      <c r="C2474" s="21"/>
      <c r="D2474" s="21"/>
      <c r="E2474" s="21"/>
      <c r="F2474" s="21"/>
      <c r="G2474" s="21"/>
      <c r="H2474" s="21"/>
      <c r="I2474" s="21"/>
      <c r="J2474" s="21"/>
      <c r="K2474" s="21"/>
      <c r="L2474" s="21"/>
      <c r="M2474" s="7"/>
      <c r="N2474" s="7"/>
      <c r="O2474" s="7"/>
      <c r="P2474" s="7"/>
      <c r="Q2474" s="7"/>
      <c r="R2474" s="7"/>
      <c r="S2474" s="7"/>
      <c r="T2474" s="7"/>
      <c r="U2474" s="7"/>
      <c r="V2474" s="7"/>
      <c r="W2474" s="7"/>
      <c r="X2474" s="7"/>
      <c r="Y2474" s="7"/>
      <c r="Z2474" s="7"/>
      <c r="AA2474" s="7"/>
      <c r="AB2474" s="7"/>
      <c r="AC2474" s="7"/>
      <c r="AD2474" s="7"/>
      <c r="AE2474" s="7"/>
    </row>
    <row r="2475">
      <c r="A2475" s="7"/>
      <c r="B2475" s="21"/>
      <c r="C2475" s="21"/>
      <c r="D2475" s="21"/>
      <c r="E2475" s="21"/>
      <c r="F2475" s="21"/>
      <c r="G2475" s="21"/>
      <c r="H2475" s="21"/>
      <c r="I2475" s="21"/>
      <c r="J2475" s="21"/>
      <c r="K2475" s="21"/>
      <c r="L2475" s="21"/>
      <c r="M2475" s="7"/>
      <c r="N2475" s="7"/>
      <c r="O2475" s="7"/>
      <c r="P2475" s="7"/>
      <c r="Q2475" s="7"/>
      <c r="R2475" s="7"/>
      <c r="S2475" s="7"/>
      <c r="T2475" s="7"/>
      <c r="U2475" s="7"/>
      <c r="V2475" s="7"/>
      <c r="W2475" s="7"/>
      <c r="X2475" s="7"/>
      <c r="Y2475" s="7"/>
      <c r="Z2475" s="7"/>
      <c r="AA2475" s="7"/>
      <c r="AB2475" s="7"/>
      <c r="AC2475" s="7"/>
      <c r="AD2475" s="7"/>
      <c r="AE2475" s="7"/>
    </row>
    <row r="2476">
      <c r="A2476" s="7"/>
      <c r="B2476" s="21"/>
      <c r="C2476" s="21"/>
      <c r="D2476" s="21"/>
      <c r="E2476" s="21"/>
      <c r="F2476" s="21"/>
      <c r="G2476" s="21"/>
      <c r="H2476" s="21"/>
      <c r="I2476" s="21"/>
      <c r="J2476" s="21"/>
      <c r="K2476" s="21"/>
      <c r="L2476" s="21"/>
      <c r="M2476" s="7"/>
      <c r="N2476" s="7"/>
      <c r="O2476" s="7"/>
      <c r="P2476" s="7"/>
      <c r="Q2476" s="7"/>
      <c r="R2476" s="7"/>
      <c r="S2476" s="7"/>
      <c r="T2476" s="7"/>
      <c r="U2476" s="7"/>
      <c r="V2476" s="7"/>
      <c r="W2476" s="7"/>
      <c r="X2476" s="7"/>
      <c r="Y2476" s="7"/>
      <c r="Z2476" s="7"/>
      <c r="AA2476" s="7"/>
      <c r="AB2476" s="7"/>
      <c r="AC2476" s="7"/>
      <c r="AD2476" s="7"/>
      <c r="AE2476" s="7"/>
    </row>
    <row r="2477">
      <c r="A2477" s="7"/>
      <c r="B2477" s="21"/>
      <c r="C2477" s="21"/>
      <c r="D2477" s="21"/>
      <c r="E2477" s="21"/>
      <c r="F2477" s="21"/>
      <c r="G2477" s="21"/>
      <c r="H2477" s="21"/>
      <c r="I2477" s="21"/>
      <c r="J2477" s="21"/>
      <c r="K2477" s="21"/>
      <c r="L2477" s="21"/>
      <c r="M2477" s="7"/>
      <c r="N2477" s="7"/>
      <c r="O2477" s="7"/>
      <c r="P2477" s="7"/>
      <c r="Q2477" s="7"/>
      <c r="R2477" s="7"/>
      <c r="S2477" s="7"/>
      <c r="T2477" s="7"/>
      <c r="U2477" s="7"/>
      <c r="V2477" s="7"/>
      <c r="W2477" s="7"/>
      <c r="X2477" s="7"/>
      <c r="Y2477" s="7"/>
      <c r="Z2477" s="7"/>
      <c r="AA2477" s="7"/>
      <c r="AB2477" s="7"/>
      <c r="AC2477" s="7"/>
      <c r="AD2477" s="7"/>
      <c r="AE2477" s="7"/>
    </row>
    <row r="2478">
      <c r="A2478" s="7"/>
      <c r="B2478" s="21"/>
      <c r="C2478" s="21"/>
      <c r="D2478" s="21"/>
      <c r="E2478" s="21"/>
      <c r="F2478" s="21"/>
      <c r="G2478" s="21"/>
      <c r="H2478" s="21"/>
      <c r="I2478" s="21"/>
      <c r="J2478" s="21"/>
      <c r="K2478" s="21"/>
      <c r="L2478" s="21"/>
      <c r="M2478" s="7"/>
      <c r="N2478" s="7"/>
      <c r="O2478" s="7"/>
      <c r="P2478" s="7"/>
      <c r="Q2478" s="7"/>
      <c r="R2478" s="7"/>
      <c r="S2478" s="7"/>
      <c r="T2478" s="7"/>
      <c r="U2478" s="7"/>
      <c r="V2478" s="7"/>
      <c r="W2478" s="7"/>
      <c r="X2478" s="7"/>
      <c r="Y2478" s="7"/>
      <c r="Z2478" s="7"/>
      <c r="AA2478" s="7"/>
      <c r="AB2478" s="7"/>
      <c r="AC2478" s="7"/>
      <c r="AD2478" s="7"/>
      <c r="AE2478" s="7"/>
    </row>
    <row r="2479">
      <c r="A2479" s="7"/>
      <c r="B2479" s="21"/>
      <c r="C2479" s="21"/>
      <c r="D2479" s="21"/>
      <c r="E2479" s="21"/>
      <c r="F2479" s="21"/>
      <c r="G2479" s="21"/>
      <c r="H2479" s="21"/>
      <c r="I2479" s="21"/>
      <c r="J2479" s="21"/>
      <c r="K2479" s="21"/>
      <c r="L2479" s="21"/>
      <c r="M2479" s="7"/>
      <c r="N2479" s="7"/>
      <c r="O2479" s="7"/>
      <c r="P2479" s="7"/>
      <c r="Q2479" s="7"/>
      <c r="R2479" s="7"/>
      <c r="S2479" s="7"/>
      <c r="T2479" s="7"/>
      <c r="U2479" s="7"/>
      <c r="V2479" s="7"/>
      <c r="W2479" s="7"/>
      <c r="X2479" s="7"/>
      <c r="Y2479" s="7"/>
      <c r="Z2479" s="7"/>
      <c r="AA2479" s="7"/>
      <c r="AB2479" s="7"/>
      <c r="AC2479" s="7"/>
      <c r="AD2479" s="7"/>
      <c r="AE2479" s="7"/>
    </row>
    <row r="2480">
      <c r="A2480" s="7"/>
      <c r="B2480" s="21"/>
      <c r="C2480" s="21"/>
      <c r="D2480" s="21"/>
      <c r="E2480" s="21"/>
      <c r="F2480" s="21"/>
      <c r="G2480" s="21"/>
      <c r="H2480" s="21"/>
      <c r="I2480" s="21"/>
      <c r="J2480" s="21"/>
      <c r="K2480" s="21"/>
      <c r="L2480" s="21"/>
      <c r="M2480" s="7"/>
      <c r="N2480" s="7"/>
      <c r="O2480" s="7"/>
      <c r="P2480" s="7"/>
      <c r="Q2480" s="7"/>
      <c r="R2480" s="7"/>
      <c r="S2480" s="7"/>
      <c r="T2480" s="7"/>
      <c r="U2480" s="7"/>
      <c r="V2480" s="7"/>
      <c r="W2480" s="7"/>
      <c r="X2480" s="7"/>
      <c r="Y2480" s="7"/>
      <c r="Z2480" s="7"/>
      <c r="AA2480" s="7"/>
      <c r="AB2480" s="7"/>
      <c r="AC2480" s="7"/>
      <c r="AD2480" s="7"/>
      <c r="AE2480" s="7"/>
    </row>
    <row r="2481">
      <c r="A2481" s="7"/>
      <c r="B2481" s="21"/>
      <c r="C2481" s="21"/>
      <c r="D2481" s="21"/>
      <c r="E2481" s="21"/>
      <c r="F2481" s="21"/>
      <c r="G2481" s="21"/>
      <c r="H2481" s="21"/>
      <c r="I2481" s="21"/>
      <c r="J2481" s="21"/>
      <c r="K2481" s="21"/>
      <c r="L2481" s="21"/>
      <c r="M2481" s="7"/>
      <c r="N2481" s="7"/>
      <c r="O2481" s="7"/>
      <c r="P2481" s="7"/>
      <c r="Q2481" s="7"/>
      <c r="R2481" s="7"/>
      <c r="S2481" s="7"/>
      <c r="T2481" s="7"/>
      <c r="U2481" s="7"/>
      <c r="V2481" s="7"/>
      <c r="W2481" s="7"/>
      <c r="X2481" s="7"/>
      <c r="Y2481" s="7"/>
      <c r="Z2481" s="7"/>
      <c r="AA2481" s="7"/>
      <c r="AB2481" s="7"/>
      <c r="AC2481" s="7"/>
      <c r="AD2481" s="7"/>
      <c r="AE2481" s="7"/>
    </row>
    <row r="2482">
      <c r="A2482" s="7"/>
      <c r="B2482" s="21"/>
      <c r="C2482" s="21"/>
      <c r="D2482" s="21"/>
      <c r="E2482" s="21"/>
      <c r="F2482" s="21"/>
      <c r="G2482" s="21"/>
      <c r="H2482" s="21"/>
      <c r="I2482" s="21"/>
      <c r="J2482" s="21"/>
      <c r="K2482" s="21"/>
      <c r="L2482" s="21"/>
      <c r="M2482" s="7"/>
      <c r="N2482" s="7"/>
      <c r="O2482" s="7"/>
      <c r="P2482" s="7"/>
      <c r="Q2482" s="7"/>
      <c r="R2482" s="7"/>
      <c r="S2482" s="7"/>
      <c r="T2482" s="7"/>
      <c r="U2482" s="7"/>
      <c r="V2482" s="7"/>
      <c r="W2482" s="7"/>
      <c r="X2482" s="7"/>
      <c r="Y2482" s="7"/>
      <c r="Z2482" s="7"/>
      <c r="AA2482" s="7"/>
      <c r="AB2482" s="7"/>
      <c r="AC2482" s="7"/>
      <c r="AD2482" s="7"/>
      <c r="AE2482" s="7"/>
    </row>
    <row r="2483">
      <c r="A2483" s="7"/>
      <c r="B2483" s="21"/>
      <c r="C2483" s="21"/>
      <c r="D2483" s="21"/>
      <c r="E2483" s="21"/>
      <c r="F2483" s="21"/>
      <c r="G2483" s="21"/>
      <c r="H2483" s="21"/>
      <c r="I2483" s="21"/>
      <c r="J2483" s="21"/>
      <c r="K2483" s="21"/>
      <c r="L2483" s="21"/>
      <c r="M2483" s="7"/>
      <c r="N2483" s="7"/>
      <c r="O2483" s="7"/>
      <c r="P2483" s="7"/>
      <c r="Q2483" s="7"/>
      <c r="R2483" s="7"/>
      <c r="S2483" s="7"/>
      <c r="T2483" s="7"/>
      <c r="U2483" s="7"/>
      <c r="V2483" s="7"/>
      <c r="W2483" s="7"/>
      <c r="X2483" s="7"/>
      <c r="Y2483" s="7"/>
      <c r="Z2483" s="7"/>
      <c r="AA2483" s="7"/>
      <c r="AB2483" s="7"/>
      <c r="AC2483" s="7"/>
      <c r="AD2483" s="7"/>
      <c r="AE2483" s="7"/>
    </row>
    <row r="2484">
      <c r="A2484" s="7"/>
      <c r="B2484" s="21"/>
      <c r="C2484" s="21"/>
      <c r="D2484" s="21"/>
      <c r="E2484" s="21"/>
      <c r="F2484" s="21"/>
      <c r="G2484" s="21"/>
      <c r="H2484" s="21"/>
      <c r="I2484" s="21"/>
      <c r="J2484" s="21"/>
      <c r="K2484" s="21"/>
      <c r="L2484" s="21"/>
      <c r="M2484" s="7"/>
      <c r="N2484" s="7"/>
      <c r="O2484" s="7"/>
      <c r="P2484" s="7"/>
      <c r="Q2484" s="7"/>
      <c r="R2484" s="7"/>
      <c r="S2484" s="7"/>
      <c r="T2484" s="7"/>
      <c r="U2484" s="7"/>
      <c r="V2484" s="7"/>
      <c r="W2484" s="7"/>
      <c r="X2484" s="7"/>
      <c r="Y2484" s="7"/>
      <c r="Z2484" s="7"/>
      <c r="AA2484" s="7"/>
      <c r="AB2484" s="7"/>
      <c r="AC2484" s="7"/>
      <c r="AD2484" s="7"/>
      <c r="AE2484" s="7"/>
    </row>
    <row r="2485">
      <c r="A2485" s="7"/>
      <c r="B2485" s="21"/>
      <c r="C2485" s="21"/>
      <c r="D2485" s="21"/>
      <c r="E2485" s="21"/>
      <c r="F2485" s="21"/>
      <c r="G2485" s="21"/>
      <c r="H2485" s="21"/>
      <c r="I2485" s="21"/>
      <c r="J2485" s="21"/>
      <c r="K2485" s="21"/>
      <c r="L2485" s="21"/>
      <c r="M2485" s="7"/>
      <c r="N2485" s="7"/>
      <c r="O2485" s="7"/>
      <c r="P2485" s="7"/>
      <c r="Q2485" s="7"/>
      <c r="R2485" s="7"/>
      <c r="S2485" s="7"/>
      <c r="T2485" s="7"/>
      <c r="U2485" s="7"/>
      <c r="V2485" s="7"/>
      <c r="W2485" s="7"/>
      <c r="X2485" s="7"/>
      <c r="Y2485" s="7"/>
      <c r="Z2485" s="7"/>
      <c r="AA2485" s="7"/>
      <c r="AB2485" s="7"/>
      <c r="AC2485" s="7"/>
      <c r="AD2485" s="7"/>
      <c r="AE2485" s="7"/>
    </row>
    <row r="2486">
      <c r="A2486" s="7"/>
      <c r="B2486" s="21"/>
      <c r="C2486" s="21"/>
      <c r="D2486" s="21"/>
      <c r="E2486" s="21"/>
      <c r="F2486" s="21"/>
      <c r="G2486" s="21"/>
      <c r="H2486" s="21"/>
      <c r="I2486" s="21"/>
      <c r="J2486" s="21"/>
      <c r="K2486" s="21"/>
      <c r="L2486" s="21"/>
      <c r="M2486" s="7"/>
      <c r="N2486" s="7"/>
      <c r="O2486" s="7"/>
      <c r="P2486" s="7"/>
      <c r="Q2486" s="7"/>
      <c r="R2486" s="7"/>
      <c r="S2486" s="7"/>
      <c r="T2486" s="7"/>
      <c r="U2486" s="7"/>
      <c r="V2486" s="7"/>
      <c r="W2486" s="7"/>
      <c r="X2486" s="7"/>
      <c r="Y2486" s="7"/>
      <c r="Z2486" s="7"/>
      <c r="AA2486" s="7"/>
      <c r="AB2486" s="7"/>
      <c r="AC2486" s="7"/>
      <c r="AD2486" s="7"/>
      <c r="AE2486" s="7"/>
    </row>
    <row r="2487">
      <c r="A2487" s="7"/>
      <c r="B2487" s="21"/>
      <c r="C2487" s="21"/>
      <c r="D2487" s="21"/>
      <c r="E2487" s="21"/>
      <c r="F2487" s="21"/>
      <c r="G2487" s="21"/>
      <c r="H2487" s="21"/>
      <c r="I2487" s="21"/>
      <c r="J2487" s="21"/>
      <c r="K2487" s="21"/>
      <c r="L2487" s="21"/>
      <c r="M2487" s="7"/>
      <c r="N2487" s="7"/>
      <c r="O2487" s="7"/>
      <c r="P2487" s="7"/>
      <c r="Q2487" s="7"/>
      <c r="R2487" s="7"/>
      <c r="S2487" s="7"/>
      <c r="T2487" s="7"/>
      <c r="U2487" s="7"/>
      <c r="V2487" s="7"/>
      <c r="W2487" s="7"/>
      <c r="X2487" s="7"/>
      <c r="Y2487" s="7"/>
      <c r="Z2487" s="7"/>
      <c r="AA2487" s="7"/>
      <c r="AB2487" s="7"/>
      <c r="AC2487" s="7"/>
      <c r="AD2487" s="7"/>
      <c r="AE2487" s="7"/>
    </row>
    <row r="2488">
      <c r="A2488" s="7"/>
      <c r="B2488" s="21"/>
      <c r="C2488" s="21"/>
      <c r="D2488" s="21"/>
      <c r="E2488" s="21"/>
      <c r="F2488" s="21"/>
      <c r="G2488" s="21"/>
      <c r="H2488" s="21"/>
      <c r="I2488" s="21"/>
      <c r="J2488" s="21"/>
      <c r="K2488" s="21"/>
      <c r="L2488" s="21"/>
      <c r="M2488" s="7"/>
      <c r="N2488" s="7"/>
      <c r="O2488" s="7"/>
      <c r="P2488" s="7"/>
      <c r="Q2488" s="7"/>
      <c r="R2488" s="7"/>
      <c r="S2488" s="7"/>
      <c r="T2488" s="7"/>
      <c r="U2488" s="7"/>
      <c r="V2488" s="7"/>
      <c r="W2488" s="7"/>
      <c r="X2488" s="7"/>
      <c r="Y2488" s="7"/>
      <c r="Z2488" s="7"/>
      <c r="AA2488" s="7"/>
      <c r="AB2488" s="7"/>
      <c r="AC2488" s="7"/>
      <c r="AD2488" s="7"/>
      <c r="AE2488" s="7"/>
    </row>
    <row r="2489">
      <c r="A2489" s="7"/>
      <c r="B2489" s="21"/>
      <c r="C2489" s="21"/>
      <c r="D2489" s="21"/>
      <c r="E2489" s="21"/>
      <c r="F2489" s="21"/>
      <c r="G2489" s="21"/>
      <c r="H2489" s="21"/>
      <c r="I2489" s="21"/>
      <c r="J2489" s="21"/>
      <c r="K2489" s="21"/>
      <c r="L2489" s="21"/>
      <c r="M2489" s="7"/>
      <c r="N2489" s="7"/>
      <c r="O2489" s="7"/>
      <c r="P2489" s="7"/>
      <c r="Q2489" s="7"/>
      <c r="R2489" s="7"/>
      <c r="S2489" s="7"/>
      <c r="T2489" s="7"/>
      <c r="U2489" s="7"/>
      <c r="V2489" s="7"/>
      <c r="W2489" s="7"/>
      <c r="X2489" s="7"/>
      <c r="Y2489" s="7"/>
      <c r="Z2489" s="7"/>
      <c r="AA2489" s="7"/>
      <c r="AB2489" s="7"/>
      <c r="AC2489" s="7"/>
      <c r="AD2489" s="7"/>
      <c r="AE2489" s="7"/>
    </row>
    <row r="2490">
      <c r="A2490" s="7"/>
      <c r="B2490" s="21"/>
      <c r="C2490" s="21"/>
      <c r="D2490" s="21"/>
      <c r="E2490" s="21"/>
      <c r="F2490" s="21"/>
      <c r="G2490" s="21"/>
      <c r="H2490" s="21"/>
      <c r="I2490" s="21"/>
      <c r="J2490" s="21"/>
      <c r="K2490" s="21"/>
      <c r="L2490" s="21"/>
      <c r="M2490" s="7"/>
      <c r="N2490" s="7"/>
      <c r="O2490" s="7"/>
      <c r="P2490" s="7"/>
      <c r="Q2490" s="7"/>
      <c r="R2490" s="7"/>
      <c r="S2490" s="7"/>
      <c r="T2490" s="7"/>
      <c r="U2490" s="7"/>
      <c r="V2490" s="7"/>
      <c r="W2490" s="7"/>
      <c r="X2490" s="7"/>
      <c r="Y2490" s="7"/>
      <c r="Z2490" s="7"/>
      <c r="AA2490" s="7"/>
      <c r="AB2490" s="7"/>
      <c r="AC2490" s="7"/>
      <c r="AD2490" s="7"/>
      <c r="AE2490" s="7"/>
    </row>
    <row r="2491">
      <c r="A2491" s="7"/>
      <c r="B2491" s="21"/>
      <c r="C2491" s="21"/>
      <c r="D2491" s="21"/>
      <c r="E2491" s="21"/>
      <c r="F2491" s="21"/>
      <c r="G2491" s="21"/>
      <c r="H2491" s="21"/>
      <c r="I2491" s="21"/>
      <c r="J2491" s="21"/>
      <c r="K2491" s="21"/>
      <c r="L2491" s="21"/>
      <c r="M2491" s="7"/>
      <c r="N2491" s="7"/>
      <c r="O2491" s="7"/>
      <c r="P2491" s="7"/>
      <c r="Q2491" s="7"/>
      <c r="R2491" s="7"/>
      <c r="S2491" s="7"/>
      <c r="T2491" s="7"/>
      <c r="U2491" s="7"/>
      <c r="V2491" s="7"/>
      <c r="W2491" s="7"/>
      <c r="X2491" s="7"/>
      <c r="Y2491" s="7"/>
      <c r="Z2491" s="7"/>
      <c r="AA2491" s="7"/>
      <c r="AB2491" s="7"/>
      <c r="AC2491" s="7"/>
      <c r="AD2491" s="7"/>
      <c r="AE2491" s="7"/>
    </row>
    <row r="2492">
      <c r="A2492" s="7"/>
      <c r="B2492" s="21"/>
      <c r="C2492" s="21"/>
      <c r="D2492" s="21"/>
      <c r="E2492" s="21"/>
      <c r="F2492" s="21"/>
      <c r="G2492" s="21"/>
      <c r="H2492" s="21"/>
      <c r="I2492" s="21"/>
      <c r="J2492" s="21"/>
      <c r="K2492" s="21"/>
      <c r="L2492" s="21"/>
      <c r="M2492" s="7"/>
      <c r="N2492" s="7"/>
      <c r="O2492" s="7"/>
      <c r="P2492" s="7"/>
      <c r="Q2492" s="7"/>
      <c r="R2492" s="7"/>
      <c r="S2492" s="7"/>
      <c r="T2492" s="7"/>
      <c r="U2492" s="7"/>
      <c r="V2492" s="7"/>
      <c r="W2492" s="7"/>
      <c r="X2492" s="7"/>
      <c r="Y2492" s="7"/>
      <c r="Z2492" s="7"/>
      <c r="AA2492" s="7"/>
      <c r="AB2492" s="7"/>
      <c r="AC2492" s="7"/>
      <c r="AD2492" s="7"/>
      <c r="AE2492" s="7"/>
    </row>
    <row r="2493">
      <c r="A2493" s="7"/>
      <c r="B2493" s="21"/>
      <c r="C2493" s="21"/>
      <c r="D2493" s="21"/>
      <c r="E2493" s="21"/>
      <c r="F2493" s="21"/>
      <c r="G2493" s="21"/>
      <c r="H2493" s="21"/>
      <c r="I2493" s="21"/>
      <c r="J2493" s="21"/>
      <c r="K2493" s="21"/>
      <c r="L2493" s="21"/>
      <c r="M2493" s="7"/>
      <c r="N2493" s="7"/>
      <c r="O2493" s="7"/>
      <c r="P2493" s="7"/>
      <c r="Q2493" s="7"/>
      <c r="R2493" s="7"/>
      <c r="S2493" s="7"/>
      <c r="T2493" s="7"/>
      <c r="U2493" s="7"/>
      <c r="V2493" s="7"/>
      <c r="W2493" s="7"/>
      <c r="X2493" s="7"/>
      <c r="Y2493" s="7"/>
      <c r="Z2493" s="7"/>
      <c r="AA2493" s="7"/>
      <c r="AB2493" s="7"/>
      <c r="AC2493" s="7"/>
      <c r="AD2493" s="7"/>
      <c r="AE2493" s="7"/>
    </row>
    <row r="2494">
      <c r="A2494" s="7"/>
      <c r="B2494" s="21"/>
      <c r="C2494" s="21"/>
      <c r="D2494" s="21"/>
      <c r="E2494" s="21"/>
      <c r="F2494" s="21"/>
      <c r="G2494" s="21"/>
      <c r="H2494" s="21"/>
      <c r="I2494" s="21"/>
      <c r="J2494" s="21"/>
      <c r="K2494" s="21"/>
      <c r="L2494" s="21"/>
      <c r="M2494" s="7"/>
      <c r="N2494" s="7"/>
      <c r="O2494" s="7"/>
      <c r="P2494" s="7"/>
      <c r="Q2494" s="7"/>
      <c r="R2494" s="7"/>
      <c r="S2494" s="7"/>
      <c r="T2494" s="7"/>
      <c r="U2494" s="7"/>
      <c r="V2494" s="7"/>
      <c r="W2494" s="7"/>
      <c r="X2494" s="7"/>
      <c r="Y2494" s="7"/>
      <c r="Z2494" s="7"/>
      <c r="AA2494" s="7"/>
      <c r="AB2494" s="7"/>
      <c r="AC2494" s="7"/>
      <c r="AD2494" s="7"/>
      <c r="AE2494" s="7"/>
    </row>
    <row r="2495">
      <c r="A2495" s="7"/>
      <c r="B2495" s="21"/>
      <c r="C2495" s="21"/>
      <c r="D2495" s="21"/>
      <c r="E2495" s="21"/>
      <c r="F2495" s="21"/>
      <c r="G2495" s="21"/>
      <c r="H2495" s="21"/>
      <c r="I2495" s="21"/>
      <c r="J2495" s="21"/>
      <c r="K2495" s="21"/>
      <c r="L2495" s="21"/>
      <c r="M2495" s="7"/>
      <c r="N2495" s="7"/>
      <c r="O2495" s="7"/>
      <c r="P2495" s="7"/>
      <c r="Q2495" s="7"/>
      <c r="R2495" s="7"/>
      <c r="S2495" s="7"/>
      <c r="T2495" s="7"/>
      <c r="U2495" s="7"/>
      <c r="V2495" s="7"/>
      <c r="W2495" s="7"/>
      <c r="X2495" s="7"/>
      <c r="Y2495" s="7"/>
      <c r="Z2495" s="7"/>
      <c r="AA2495" s="7"/>
      <c r="AB2495" s="7"/>
      <c r="AC2495" s="7"/>
      <c r="AD2495" s="7"/>
      <c r="AE2495" s="7"/>
    </row>
    <row r="2496">
      <c r="A2496" s="7"/>
      <c r="B2496" s="21"/>
      <c r="C2496" s="21"/>
      <c r="D2496" s="21"/>
      <c r="E2496" s="21"/>
      <c r="F2496" s="21"/>
      <c r="G2496" s="21"/>
      <c r="H2496" s="21"/>
      <c r="I2496" s="21"/>
      <c r="J2496" s="21"/>
      <c r="K2496" s="21"/>
      <c r="L2496" s="21"/>
      <c r="M2496" s="7"/>
      <c r="N2496" s="7"/>
      <c r="O2496" s="7"/>
      <c r="P2496" s="7"/>
      <c r="Q2496" s="7"/>
      <c r="R2496" s="7"/>
      <c r="S2496" s="7"/>
      <c r="T2496" s="7"/>
      <c r="U2496" s="7"/>
      <c r="V2496" s="7"/>
      <c r="W2496" s="7"/>
      <c r="X2496" s="7"/>
      <c r="Y2496" s="7"/>
      <c r="Z2496" s="7"/>
      <c r="AA2496" s="7"/>
      <c r="AB2496" s="7"/>
      <c r="AC2496" s="7"/>
      <c r="AD2496" s="7"/>
      <c r="AE2496" s="7"/>
    </row>
    <row r="2497">
      <c r="A2497" s="7"/>
      <c r="B2497" s="21"/>
      <c r="C2497" s="21"/>
      <c r="D2497" s="21"/>
      <c r="E2497" s="21"/>
      <c r="F2497" s="21"/>
      <c r="G2497" s="21"/>
      <c r="H2497" s="21"/>
      <c r="I2497" s="21"/>
      <c r="J2497" s="21"/>
      <c r="K2497" s="21"/>
      <c r="L2497" s="21"/>
      <c r="M2497" s="7"/>
      <c r="N2497" s="7"/>
      <c r="O2497" s="7"/>
      <c r="P2497" s="7"/>
      <c r="Q2497" s="7"/>
      <c r="R2497" s="7"/>
      <c r="S2497" s="7"/>
      <c r="T2497" s="7"/>
      <c r="U2497" s="7"/>
      <c r="V2497" s="7"/>
      <c r="W2497" s="7"/>
      <c r="X2497" s="7"/>
      <c r="Y2497" s="7"/>
      <c r="Z2497" s="7"/>
      <c r="AA2497" s="7"/>
      <c r="AB2497" s="7"/>
      <c r="AC2497" s="7"/>
      <c r="AD2497" s="7"/>
      <c r="AE2497" s="7"/>
    </row>
    <row r="2498">
      <c r="A2498" s="7"/>
      <c r="B2498" s="21"/>
      <c r="C2498" s="21"/>
      <c r="D2498" s="21"/>
      <c r="E2498" s="21"/>
      <c r="F2498" s="21"/>
      <c r="G2498" s="21"/>
      <c r="H2498" s="21"/>
      <c r="I2498" s="21"/>
      <c r="J2498" s="21"/>
      <c r="K2498" s="21"/>
      <c r="L2498" s="21"/>
      <c r="M2498" s="7"/>
      <c r="N2498" s="7"/>
      <c r="O2498" s="7"/>
      <c r="P2498" s="7"/>
      <c r="Q2498" s="7"/>
      <c r="R2498" s="7"/>
      <c r="S2498" s="7"/>
      <c r="T2498" s="7"/>
      <c r="U2498" s="7"/>
      <c r="V2498" s="7"/>
      <c r="W2498" s="7"/>
      <c r="X2498" s="7"/>
      <c r="Y2498" s="7"/>
      <c r="Z2498" s="7"/>
      <c r="AA2498" s="7"/>
      <c r="AB2498" s="7"/>
      <c r="AC2498" s="7"/>
      <c r="AD2498" s="7"/>
      <c r="AE2498" s="7"/>
    </row>
    <row r="2499">
      <c r="A2499" s="7"/>
      <c r="B2499" s="21"/>
      <c r="C2499" s="21"/>
      <c r="D2499" s="21"/>
      <c r="E2499" s="21"/>
      <c r="F2499" s="21"/>
      <c r="G2499" s="21"/>
      <c r="H2499" s="21"/>
      <c r="I2499" s="21"/>
      <c r="J2499" s="21"/>
      <c r="K2499" s="21"/>
      <c r="L2499" s="21"/>
      <c r="M2499" s="7"/>
      <c r="N2499" s="7"/>
      <c r="O2499" s="7"/>
      <c r="P2499" s="7"/>
      <c r="Q2499" s="7"/>
      <c r="R2499" s="7"/>
      <c r="S2499" s="7"/>
      <c r="T2499" s="7"/>
      <c r="U2499" s="7"/>
      <c r="V2499" s="7"/>
      <c r="W2499" s="7"/>
      <c r="X2499" s="7"/>
      <c r="Y2499" s="7"/>
      <c r="Z2499" s="7"/>
      <c r="AA2499" s="7"/>
      <c r="AB2499" s="7"/>
      <c r="AC2499" s="7"/>
      <c r="AD2499" s="7"/>
      <c r="AE2499" s="7"/>
    </row>
    <row r="2500">
      <c r="A2500" s="7"/>
      <c r="B2500" s="21"/>
      <c r="C2500" s="21"/>
      <c r="D2500" s="21"/>
      <c r="E2500" s="21"/>
      <c r="F2500" s="21"/>
      <c r="G2500" s="21"/>
      <c r="H2500" s="21"/>
      <c r="I2500" s="21"/>
      <c r="J2500" s="21"/>
      <c r="K2500" s="21"/>
      <c r="L2500" s="21"/>
      <c r="M2500" s="7"/>
      <c r="N2500" s="7"/>
      <c r="O2500" s="7"/>
      <c r="P2500" s="7"/>
      <c r="Q2500" s="7"/>
      <c r="R2500" s="7"/>
      <c r="S2500" s="7"/>
      <c r="T2500" s="7"/>
      <c r="U2500" s="7"/>
      <c r="V2500" s="7"/>
      <c r="W2500" s="7"/>
      <c r="X2500" s="7"/>
      <c r="Y2500" s="7"/>
      <c r="Z2500" s="7"/>
      <c r="AA2500" s="7"/>
      <c r="AB2500" s="7"/>
      <c r="AC2500" s="7"/>
      <c r="AD2500" s="7"/>
      <c r="AE2500" s="7"/>
    </row>
    <row r="2501">
      <c r="A2501" s="7"/>
      <c r="B2501" s="21"/>
      <c r="C2501" s="21"/>
      <c r="D2501" s="21"/>
      <c r="E2501" s="21"/>
      <c r="F2501" s="21"/>
      <c r="G2501" s="21"/>
      <c r="H2501" s="21"/>
      <c r="I2501" s="21"/>
      <c r="J2501" s="21"/>
      <c r="K2501" s="21"/>
      <c r="L2501" s="21"/>
      <c r="M2501" s="7"/>
      <c r="N2501" s="7"/>
      <c r="O2501" s="7"/>
      <c r="P2501" s="7"/>
      <c r="Q2501" s="7"/>
      <c r="R2501" s="7"/>
      <c r="S2501" s="7"/>
      <c r="T2501" s="7"/>
      <c r="U2501" s="7"/>
      <c r="V2501" s="7"/>
      <c r="W2501" s="7"/>
      <c r="X2501" s="7"/>
      <c r="Y2501" s="7"/>
      <c r="Z2501" s="7"/>
      <c r="AA2501" s="7"/>
      <c r="AB2501" s="7"/>
      <c r="AC2501" s="7"/>
      <c r="AD2501" s="7"/>
      <c r="AE2501" s="7"/>
    </row>
    <row r="2502">
      <c r="A2502" s="7"/>
      <c r="B2502" s="21"/>
      <c r="C2502" s="21"/>
      <c r="D2502" s="21"/>
      <c r="E2502" s="21"/>
      <c r="F2502" s="21"/>
      <c r="G2502" s="21"/>
      <c r="H2502" s="21"/>
      <c r="I2502" s="21"/>
      <c r="J2502" s="21"/>
      <c r="K2502" s="21"/>
      <c r="L2502" s="21"/>
      <c r="M2502" s="7"/>
      <c r="N2502" s="7"/>
      <c r="O2502" s="7"/>
      <c r="P2502" s="7"/>
      <c r="Q2502" s="7"/>
      <c r="R2502" s="7"/>
      <c r="S2502" s="7"/>
      <c r="T2502" s="7"/>
      <c r="U2502" s="7"/>
      <c r="V2502" s="7"/>
      <c r="W2502" s="7"/>
      <c r="X2502" s="7"/>
      <c r="Y2502" s="7"/>
      <c r="Z2502" s="7"/>
      <c r="AA2502" s="7"/>
      <c r="AB2502" s="7"/>
      <c r="AC2502" s="7"/>
      <c r="AD2502" s="7"/>
      <c r="AE2502" s="7"/>
    </row>
    <row r="2503">
      <c r="A2503" s="7"/>
      <c r="B2503" s="21"/>
      <c r="C2503" s="21"/>
      <c r="D2503" s="21"/>
      <c r="E2503" s="21"/>
      <c r="F2503" s="21"/>
      <c r="G2503" s="21"/>
      <c r="H2503" s="21"/>
      <c r="I2503" s="21"/>
      <c r="J2503" s="21"/>
      <c r="K2503" s="21"/>
      <c r="L2503" s="21"/>
      <c r="M2503" s="7"/>
      <c r="N2503" s="7"/>
      <c r="O2503" s="7"/>
      <c r="P2503" s="7"/>
      <c r="Q2503" s="7"/>
      <c r="R2503" s="7"/>
      <c r="S2503" s="7"/>
      <c r="T2503" s="7"/>
      <c r="U2503" s="7"/>
      <c r="V2503" s="7"/>
      <c r="W2503" s="7"/>
      <c r="X2503" s="7"/>
      <c r="Y2503" s="7"/>
      <c r="Z2503" s="7"/>
      <c r="AA2503" s="7"/>
      <c r="AB2503" s="7"/>
      <c r="AC2503" s="7"/>
      <c r="AD2503" s="7"/>
      <c r="AE2503" s="7"/>
    </row>
    <row r="2504">
      <c r="A2504" s="7"/>
      <c r="B2504" s="21"/>
      <c r="C2504" s="21"/>
      <c r="D2504" s="21"/>
      <c r="E2504" s="21"/>
      <c r="F2504" s="21"/>
      <c r="G2504" s="21"/>
      <c r="H2504" s="21"/>
      <c r="I2504" s="21"/>
      <c r="J2504" s="21"/>
      <c r="K2504" s="21"/>
      <c r="L2504" s="21"/>
      <c r="M2504" s="7"/>
      <c r="N2504" s="7"/>
      <c r="O2504" s="7"/>
      <c r="P2504" s="7"/>
      <c r="Q2504" s="7"/>
      <c r="R2504" s="7"/>
      <c r="S2504" s="7"/>
      <c r="T2504" s="7"/>
      <c r="U2504" s="7"/>
      <c r="V2504" s="7"/>
      <c r="W2504" s="7"/>
      <c r="X2504" s="7"/>
      <c r="Y2504" s="7"/>
      <c r="Z2504" s="7"/>
      <c r="AA2504" s="7"/>
      <c r="AB2504" s="7"/>
      <c r="AC2504" s="7"/>
      <c r="AD2504" s="7"/>
      <c r="AE2504" s="7"/>
    </row>
    <row r="2505">
      <c r="A2505" s="7"/>
      <c r="B2505" s="21"/>
      <c r="C2505" s="21"/>
      <c r="D2505" s="21"/>
      <c r="E2505" s="21"/>
      <c r="F2505" s="21"/>
      <c r="G2505" s="21"/>
      <c r="H2505" s="21"/>
      <c r="I2505" s="21"/>
      <c r="J2505" s="21"/>
      <c r="K2505" s="21"/>
      <c r="L2505" s="21"/>
      <c r="M2505" s="7"/>
      <c r="N2505" s="7"/>
      <c r="O2505" s="7"/>
      <c r="P2505" s="7"/>
      <c r="Q2505" s="7"/>
      <c r="R2505" s="7"/>
      <c r="S2505" s="7"/>
      <c r="T2505" s="7"/>
      <c r="U2505" s="7"/>
      <c r="V2505" s="7"/>
      <c r="W2505" s="7"/>
      <c r="X2505" s="7"/>
      <c r="Y2505" s="7"/>
      <c r="Z2505" s="7"/>
      <c r="AA2505" s="7"/>
      <c r="AB2505" s="7"/>
      <c r="AC2505" s="7"/>
      <c r="AD2505" s="7"/>
      <c r="AE2505" s="7"/>
    </row>
    <row r="2506">
      <c r="A2506" s="7"/>
      <c r="B2506" s="21"/>
      <c r="C2506" s="21"/>
      <c r="D2506" s="21"/>
      <c r="E2506" s="21"/>
      <c r="F2506" s="21"/>
      <c r="G2506" s="21"/>
      <c r="H2506" s="21"/>
      <c r="I2506" s="21"/>
      <c r="J2506" s="21"/>
      <c r="K2506" s="21"/>
      <c r="L2506" s="21"/>
      <c r="M2506" s="7"/>
      <c r="N2506" s="7"/>
      <c r="O2506" s="7"/>
      <c r="P2506" s="7"/>
      <c r="Q2506" s="7"/>
      <c r="R2506" s="7"/>
      <c r="S2506" s="7"/>
      <c r="T2506" s="7"/>
      <c r="U2506" s="7"/>
      <c r="V2506" s="7"/>
      <c r="W2506" s="7"/>
      <c r="X2506" s="7"/>
      <c r="Y2506" s="7"/>
      <c r="Z2506" s="7"/>
      <c r="AA2506" s="7"/>
      <c r="AB2506" s="7"/>
      <c r="AC2506" s="7"/>
      <c r="AD2506" s="7"/>
      <c r="AE2506" s="7"/>
    </row>
    <row r="2507">
      <c r="A2507" s="7"/>
      <c r="B2507" s="21"/>
      <c r="C2507" s="21"/>
      <c r="D2507" s="21"/>
      <c r="E2507" s="21"/>
      <c r="F2507" s="21"/>
      <c r="G2507" s="21"/>
      <c r="H2507" s="21"/>
      <c r="I2507" s="21"/>
      <c r="J2507" s="21"/>
      <c r="K2507" s="21"/>
      <c r="L2507" s="21"/>
      <c r="M2507" s="7"/>
      <c r="N2507" s="7"/>
      <c r="O2507" s="7"/>
      <c r="P2507" s="7"/>
      <c r="Q2507" s="7"/>
      <c r="R2507" s="7"/>
      <c r="S2507" s="7"/>
      <c r="T2507" s="7"/>
      <c r="U2507" s="7"/>
      <c r="V2507" s="7"/>
      <c r="W2507" s="7"/>
      <c r="X2507" s="7"/>
      <c r="Y2507" s="7"/>
      <c r="Z2507" s="7"/>
      <c r="AA2507" s="7"/>
      <c r="AB2507" s="7"/>
      <c r="AC2507" s="7"/>
      <c r="AD2507" s="7"/>
      <c r="AE2507" s="7"/>
    </row>
    <row r="2508">
      <c r="A2508" s="7"/>
      <c r="B2508" s="21"/>
      <c r="C2508" s="21"/>
      <c r="D2508" s="21"/>
      <c r="E2508" s="21"/>
      <c r="F2508" s="21"/>
      <c r="G2508" s="21"/>
      <c r="H2508" s="21"/>
      <c r="I2508" s="21"/>
      <c r="J2508" s="21"/>
      <c r="K2508" s="21"/>
      <c r="L2508" s="21"/>
      <c r="M2508" s="7"/>
      <c r="N2508" s="7"/>
      <c r="O2508" s="7"/>
      <c r="P2508" s="7"/>
      <c r="Q2508" s="7"/>
      <c r="R2508" s="7"/>
      <c r="S2508" s="7"/>
      <c r="T2508" s="7"/>
      <c r="U2508" s="7"/>
      <c r="V2508" s="7"/>
      <c r="W2508" s="7"/>
      <c r="X2508" s="7"/>
      <c r="Y2508" s="7"/>
      <c r="Z2508" s="7"/>
      <c r="AA2508" s="7"/>
      <c r="AB2508" s="7"/>
      <c r="AC2508" s="7"/>
      <c r="AD2508" s="7"/>
      <c r="AE2508" s="7"/>
    </row>
    <row r="2509">
      <c r="A2509" s="7"/>
      <c r="B2509" s="21"/>
      <c r="C2509" s="21"/>
      <c r="D2509" s="21"/>
      <c r="E2509" s="21"/>
      <c r="F2509" s="21"/>
      <c r="G2509" s="21"/>
      <c r="H2509" s="21"/>
      <c r="I2509" s="21"/>
      <c r="J2509" s="21"/>
      <c r="K2509" s="21"/>
      <c r="L2509" s="21"/>
      <c r="M2509" s="7"/>
      <c r="N2509" s="7"/>
      <c r="O2509" s="7"/>
      <c r="P2509" s="7"/>
      <c r="Q2509" s="7"/>
      <c r="R2509" s="7"/>
      <c r="S2509" s="7"/>
      <c r="T2509" s="7"/>
      <c r="U2509" s="7"/>
      <c r="V2509" s="7"/>
      <c r="W2509" s="7"/>
      <c r="X2509" s="7"/>
      <c r="Y2509" s="7"/>
      <c r="Z2509" s="7"/>
      <c r="AA2509" s="7"/>
      <c r="AB2509" s="7"/>
      <c r="AC2509" s="7"/>
      <c r="AD2509" s="7"/>
      <c r="AE2509" s="7"/>
    </row>
    <row r="2510">
      <c r="A2510" s="7"/>
      <c r="B2510" s="21"/>
      <c r="C2510" s="21"/>
      <c r="D2510" s="21"/>
      <c r="E2510" s="21"/>
      <c r="F2510" s="21"/>
      <c r="G2510" s="21"/>
      <c r="H2510" s="21"/>
      <c r="I2510" s="21"/>
      <c r="J2510" s="21"/>
      <c r="K2510" s="21"/>
      <c r="L2510" s="21"/>
      <c r="M2510" s="7"/>
      <c r="N2510" s="7"/>
      <c r="O2510" s="7"/>
      <c r="P2510" s="7"/>
      <c r="Q2510" s="7"/>
      <c r="R2510" s="7"/>
      <c r="S2510" s="7"/>
      <c r="T2510" s="7"/>
      <c r="U2510" s="7"/>
      <c r="V2510" s="7"/>
      <c r="W2510" s="7"/>
      <c r="X2510" s="7"/>
      <c r="Y2510" s="7"/>
      <c r="Z2510" s="7"/>
      <c r="AA2510" s="7"/>
      <c r="AB2510" s="7"/>
      <c r="AC2510" s="7"/>
      <c r="AD2510" s="7"/>
      <c r="AE2510" s="7"/>
    </row>
    <row r="2511">
      <c r="A2511" s="7"/>
      <c r="B2511" s="21"/>
      <c r="C2511" s="21"/>
      <c r="D2511" s="21"/>
      <c r="E2511" s="21"/>
      <c r="F2511" s="21"/>
      <c r="G2511" s="21"/>
      <c r="H2511" s="21"/>
      <c r="I2511" s="21"/>
      <c r="J2511" s="21"/>
      <c r="K2511" s="21"/>
      <c r="L2511" s="21"/>
      <c r="M2511" s="7"/>
      <c r="N2511" s="7"/>
      <c r="O2511" s="7"/>
      <c r="P2511" s="7"/>
      <c r="Q2511" s="7"/>
      <c r="R2511" s="7"/>
      <c r="S2511" s="7"/>
      <c r="T2511" s="7"/>
      <c r="U2511" s="7"/>
      <c r="V2511" s="7"/>
      <c r="W2511" s="7"/>
      <c r="X2511" s="7"/>
      <c r="Y2511" s="7"/>
      <c r="Z2511" s="7"/>
      <c r="AA2511" s="7"/>
      <c r="AB2511" s="7"/>
      <c r="AC2511" s="7"/>
      <c r="AD2511" s="7"/>
      <c r="AE2511" s="7"/>
    </row>
    <row r="2512">
      <c r="A2512" s="7"/>
      <c r="B2512" s="21"/>
      <c r="C2512" s="21"/>
      <c r="D2512" s="21"/>
      <c r="E2512" s="21"/>
      <c r="F2512" s="21"/>
      <c r="G2512" s="21"/>
      <c r="H2512" s="21"/>
      <c r="I2512" s="21"/>
      <c r="J2512" s="21"/>
      <c r="K2512" s="21"/>
      <c r="L2512" s="21"/>
      <c r="M2512" s="7"/>
      <c r="N2512" s="7"/>
      <c r="O2512" s="7"/>
      <c r="P2512" s="7"/>
      <c r="Q2512" s="7"/>
      <c r="R2512" s="7"/>
      <c r="S2512" s="7"/>
      <c r="T2512" s="7"/>
      <c r="U2512" s="7"/>
      <c r="V2512" s="7"/>
      <c r="W2512" s="7"/>
      <c r="X2512" s="7"/>
      <c r="Y2512" s="7"/>
      <c r="Z2512" s="7"/>
      <c r="AA2512" s="7"/>
      <c r="AB2512" s="7"/>
      <c r="AC2512" s="7"/>
      <c r="AD2512" s="7"/>
      <c r="AE2512" s="7"/>
    </row>
    <row r="2513">
      <c r="A2513" s="7"/>
      <c r="B2513" s="21"/>
      <c r="C2513" s="21"/>
      <c r="D2513" s="21"/>
      <c r="E2513" s="21"/>
      <c r="F2513" s="21"/>
      <c r="G2513" s="21"/>
      <c r="H2513" s="21"/>
      <c r="I2513" s="21"/>
      <c r="J2513" s="21"/>
      <c r="K2513" s="21"/>
      <c r="L2513" s="21"/>
      <c r="M2513" s="7"/>
      <c r="N2513" s="7"/>
      <c r="O2513" s="7"/>
      <c r="P2513" s="7"/>
      <c r="Q2513" s="7"/>
      <c r="R2513" s="7"/>
      <c r="S2513" s="7"/>
      <c r="T2513" s="7"/>
      <c r="U2513" s="7"/>
      <c r="V2513" s="7"/>
      <c r="W2513" s="7"/>
      <c r="X2513" s="7"/>
      <c r="Y2513" s="7"/>
      <c r="Z2513" s="7"/>
      <c r="AA2513" s="7"/>
      <c r="AB2513" s="7"/>
      <c r="AC2513" s="7"/>
      <c r="AD2513" s="7"/>
      <c r="AE2513" s="7"/>
    </row>
    <row r="2514">
      <c r="A2514" s="7"/>
      <c r="B2514" s="21"/>
      <c r="C2514" s="21"/>
      <c r="D2514" s="21"/>
      <c r="E2514" s="21"/>
      <c r="F2514" s="21"/>
      <c r="G2514" s="21"/>
      <c r="H2514" s="21"/>
      <c r="I2514" s="21"/>
      <c r="J2514" s="21"/>
      <c r="K2514" s="21"/>
      <c r="L2514" s="21"/>
      <c r="M2514" s="7"/>
      <c r="N2514" s="7"/>
      <c r="O2514" s="7"/>
      <c r="P2514" s="7"/>
      <c r="Q2514" s="7"/>
      <c r="R2514" s="7"/>
      <c r="S2514" s="7"/>
      <c r="T2514" s="7"/>
      <c r="U2514" s="7"/>
      <c r="V2514" s="7"/>
      <c r="W2514" s="7"/>
      <c r="X2514" s="7"/>
      <c r="Y2514" s="7"/>
      <c r="Z2514" s="7"/>
      <c r="AA2514" s="7"/>
      <c r="AB2514" s="7"/>
      <c r="AC2514" s="7"/>
      <c r="AD2514" s="7"/>
      <c r="AE2514" s="7"/>
    </row>
    <row r="2515">
      <c r="A2515" s="7"/>
      <c r="B2515" s="21"/>
      <c r="C2515" s="21"/>
      <c r="D2515" s="21"/>
      <c r="E2515" s="21"/>
      <c r="F2515" s="21"/>
      <c r="G2515" s="21"/>
      <c r="H2515" s="21"/>
      <c r="I2515" s="21"/>
      <c r="J2515" s="21"/>
      <c r="K2515" s="21"/>
      <c r="L2515" s="21"/>
      <c r="M2515" s="7"/>
      <c r="N2515" s="7"/>
      <c r="O2515" s="7"/>
      <c r="P2515" s="7"/>
      <c r="Q2515" s="7"/>
      <c r="R2515" s="7"/>
      <c r="S2515" s="7"/>
      <c r="T2515" s="7"/>
      <c r="U2515" s="7"/>
      <c r="V2515" s="7"/>
      <c r="W2515" s="7"/>
      <c r="X2515" s="7"/>
      <c r="Y2515" s="7"/>
      <c r="Z2515" s="7"/>
      <c r="AA2515" s="7"/>
      <c r="AB2515" s="7"/>
      <c r="AC2515" s="7"/>
      <c r="AD2515" s="7"/>
      <c r="AE2515" s="7"/>
    </row>
    <row r="2516">
      <c r="A2516" s="7"/>
      <c r="B2516" s="21"/>
      <c r="C2516" s="21"/>
      <c r="D2516" s="21"/>
      <c r="E2516" s="21"/>
      <c r="F2516" s="21"/>
      <c r="G2516" s="21"/>
      <c r="H2516" s="21"/>
      <c r="I2516" s="21"/>
      <c r="J2516" s="21"/>
      <c r="K2516" s="21"/>
      <c r="L2516" s="21"/>
      <c r="M2516" s="7"/>
      <c r="N2516" s="7"/>
      <c r="O2516" s="7"/>
      <c r="P2516" s="7"/>
      <c r="Q2516" s="7"/>
      <c r="R2516" s="7"/>
      <c r="S2516" s="7"/>
      <c r="T2516" s="7"/>
      <c r="U2516" s="7"/>
      <c r="V2516" s="7"/>
      <c r="W2516" s="7"/>
      <c r="X2516" s="7"/>
      <c r="Y2516" s="7"/>
      <c r="Z2516" s="7"/>
      <c r="AA2516" s="7"/>
      <c r="AB2516" s="7"/>
      <c r="AC2516" s="7"/>
      <c r="AD2516" s="7"/>
      <c r="AE2516" s="7"/>
    </row>
    <row r="2517">
      <c r="A2517" s="7"/>
      <c r="B2517" s="21"/>
      <c r="C2517" s="21"/>
      <c r="D2517" s="21"/>
      <c r="E2517" s="21"/>
      <c r="F2517" s="21"/>
      <c r="G2517" s="21"/>
      <c r="H2517" s="21"/>
      <c r="I2517" s="21"/>
      <c r="J2517" s="21"/>
      <c r="K2517" s="21"/>
      <c r="L2517" s="21"/>
      <c r="M2517" s="7"/>
      <c r="N2517" s="7"/>
      <c r="O2517" s="7"/>
      <c r="P2517" s="7"/>
      <c r="Q2517" s="7"/>
      <c r="R2517" s="7"/>
      <c r="S2517" s="7"/>
      <c r="T2517" s="7"/>
      <c r="U2517" s="7"/>
      <c r="V2517" s="7"/>
      <c r="W2517" s="7"/>
      <c r="X2517" s="7"/>
      <c r="Y2517" s="7"/>
      <c r="Z2517" s="7"/>
      <c r="AA2517" s="7"/>
      <c r="AB2517" s="7"/>
      <c r="AC2517" s="7"/>
      <c r="AD2517" s="7"/>
      <c r="AE2517" s="7"/>
    </row>
    <row r="2518">
      <c r="A2518" s="7"/>
      <c r="B2518" s="21"/>
      <c r="C2518" s="21"/>
      <c r="D2518" s="21"/>
      <c r="E2518" s="21"/>
      <c r="F2518" s="21"/>
      <c r="G2518" s="21"/>
      <c r="H2518" s="21"/>
      <c r="I2518" s="21"/>
      <c r="J2518" s="21"/>
      <c r="K2518" s="21"/>
      <c r="L2518" s="21"/>
      <c r="M2518" s="7"/>
      <c r="N2518" s="7"/>
      <c r="O2518" s="7"/>
      <c r="P2518" s="7"/>
      <c r="Q2518" s="7"/>
      <c r="R2518" s="7"/>
      <c r="S2518" s="7"/>
      <c r="T2518" s="7"/>
      <c r="U2518" s="7"/>
      <c r="V2518" s="7"/>
      <c r="W2518" s="7"/>
      <c r="X2518" s="7"/>
      <c r="Y2518" s="7"/>
      <c r="Z2518" s="7"/>
      <c r="AA2518" s="7"/>
      <c r="AB2518" s="7"/>
      <c r="AC2518" s="7"/>
      <c r="AD2518" s="7"/>
      <c r="AE2518" s="7"/>
    </row>
    <row r="2519">
      <c r="A2519" s="7"/>
      <c r="B2519" s="21"/>
      <c r="C2519" s="21"/>
      <c r="D2519" s="21"/>
      <c r="E2519" s="21"/>
      <c r="F2519" s="21"/>
      <c r="G2519" s="21"/>
      <c r="H2519" s="21"/>
      <c r="I2519" s="21"/>
      <c r="J2519" s="21"/>
      <c r="K2519" s="21"/>
      <c r="L2519" s="21"/>
      <c r="M2519" s="7"/>
      <c r="N2519" s="7"/>
      <c r="O2519" s="7"/>
      <c r="P2519" s="7"/>
      <c r="Q2519" s="7"/>
      <c r="R2519" s="7"/>
      <c r="S2519" s="7"/>
      <c r="T2519" s="7"/>
      <c r="U2519" s="7"/>
      <c r="V2519" s="7"/>
      <c r="W2519" s="7"/>
      <c r="X2519" s="7"/>
      <c r="Y2519" s="7"/>
      <c r="Z2519" s="7"/>
      <c r="AA2519" s="7"/>
      <c r="AB2519" s="7"/>
      <c r="AC2519" s="7"/>
      <c r="AD2519" s="7"/>
      <c r="AE2519" s="7"/>
    </row>
    <row r="2520">
      <c r="A2520" s="7"/>
      <c r="B2520" s="21"/>
      <c r="C2520" s="21"/>
      <c r="D2520" s="21"/>
      <c r="E2520" s="21"/>
      <c r="F2520" s="21"/>
      <c r="G2520" s="21"/>
      <c r="H2520" s="21"/>
      <c r="I2520" s="21"/>
      <c r="J2520" s="21"/>
      <c r="K2520" s="21"/>
      <c r="L2520" s="21"/>
      <c r="M2520" s="7"/>
      <c r="N2520" s="7"/>
      <c r="O2520" s="7"/>
      <c r="P2520" s="7"/>
      <c r="Q2520" s="7"/>
      <c r="R2520" s="7"/>
      <c r="S2520" s="7"/>
      <c r="T2520" s="7"/>
      <c r="U2520" s="7"/>
      <c r="V2520" s="7"/>
      <c r="W2520" s="7"/>
      <c r="X2520" s="7"/>
      <c r="Y2520" s="7"/>
      <c r="Z2520" s="7"/>
      <c r="AA2520" s="7"/>
      <c r="AB2520" s="7"/>
      <c r="AC2520" s="7"/>
      <c r="AD2520" s="7"/>
      <c r="AE2520" s="7"/>
    </row>
    <row r="2521">
      <c r="A2521" s="7"/>
      <c r="B2521" s="21"/>
      <c r="C2521" s="21"/>
      <c r="D2521" s="21"/>
      <c r="E2521" s="21"/>
      <c r="F2521" s="21"/>
      <c r="G2521" s="21"/>
      <c r="H2521" s="21"/>
      <c r="I2521" s="21"/>
      <c r="J2521" s="21"/>
      <c r="K2521" s="21"/>
      <c r="L2521" s="21"/>
      <c r="M2521" s="7"/>
      <c r="N2521" s="7"/>
      <c r="O2521" s="7"/>
      <c r="P2521" s="7"/>
      <c r="Q2521" s="7"/>
      <c r="R2521" s="7"/>
      <c r="S2521" s="7"/>
      <c r="T2521" s="7"/>
      <c r="U2521" s="7"/>
      <c r="V2521" s="7"/>
      <c r="W2521" s="7"/>
      <c r="X2521" s="7"/>
      <c r="Y2521" s="7"/>
      <c r="Z2521" s="7"/>
      <c r="AA2521" s="7"/>
      <c r="AB2521" s="7"/>
      <c r="AC2521" s="7"/>
      <c r="AD2521" s="7"/>
      <c r="AE2521" s="7"/>
    </row>
    <row r="2522">
      <c r="A2522" s="7"/>
      <c r="B2522" s="21"/>
      <c r="C2522" s="21"/>
      <c r="D2522" s="21"/>
      <c r="E2522" s="21"/>
      <c r="F2522" s="21"/>
      <c r="G2522" s="21"/>
      <c r="H2522" s="21"/>
      <c r="I2522" s="21"/>
      <c r="J2522" s="21"/>
      <c r="K2522" s="21"/>
      <c r="L2522" s="21"/>
      <c r="M2522" s="7"/>
      <c r="N2522" s="7"/>
      <c r="O2522" s="7"/>
      <c r="P2522" s="7"/>
      <c r="Q2522" s="7"/>
      <c r="R2522" s="7"/>
      <c r="S2522" s="7"/>
      <c r="T2522" s="7"/>
      <c r="U2522" s="7"/>
      <c r="V2522" s="7"/>
      <c r="W2522" s="7"/>
      <c r="X2522" s="7"/>
      <c r="Y2522" s="7"/>
      <c r="Z2522" s="7"/>
      <c r="AA2522" s="7"/>
      <c r="AB2522" s="7"/>
      <c r="AC2522" s="7"/>
      <c r="AD2522" s="7"/>
      <c r="AE2522" s="7"/>
    </row>
    <row r="2523">
      <c r="A2523" s="7"/>
      <c r="B2523" s="21"/>
      <c r="C2523" s="21"/>
      <c r="D2523" s="21"/>
      <c r="E2523" s="21"/>
      <c r="F2523" s="21"/>
      <c r="G2523" s="21"/>
      <c r="H2523" s="21"/>
      <c r="I2523" s="21"/>
      <c r="J2523" s="21"/>
      <c r="K2523" s="21"/>
      <c r="L2523" s="21"/>
      <c r="M2523" s="7"/>
      <c r="N2523" s="7"/>
      <c r="O2523" s="7"/>
      <c r="P2523" s="7"/>
      <c r="Q2523" s="7"/>
      <c r="R2523" s="7"/>
      <c r="S2523" s="7"/>
      <c r="T2523" s="7"/>
      <c r="U2523" s="7"/>
      <c r="V2523" s="7"/>
      <c r="W2523" s="7"/>
      <c r="X2523" s="7"/>
      <c r="Y2523" s="7"/>
      <c r="Z2523" s="7"/>
      <c r="AA2523" s="7"/>
      <c r="AB2523" s="7"/>
      <c r="AC2523" s="7"/>
      <c r="AD2523" s="7"/>
      <c r="AE2523" s="7"/>
    </row>
    <row r="2524">
      <c r="A2524" s="7"/>
      <c r="B2524" s="21"/>
      <c r="C2524" s="21"/>
      <c r="D2524" s="21"/>
      <c r="E2524" s="21"/>
      <c r="F2524" s="21"/>
      <c r="G2524" s="21"/>
      <c r="H2524" s="21"/>
      <c r="I2524" s="21"/>
      <c r="J2524" s="21"/>
      <c r="K2524" s="21"/>
      <c r="L2524" s="21"/>
      <c r="M2524" s="7"/>
      <c r="N2524" s="7"/>
      <c r="O2524" s="7"/>
      <c r="P2524" s="7"/>
      <c r="Q2524" s="7"/>
      <c r="R2524" s="7"/>
      <c r="S2524" s="7"/>
      <c r="T2524" s="7"/>
      <c r="U2524" s="7"/>
      <c r="V2524" s="7"/>
      <c r="W2524" s="7"/>
      <c r="X2524" s="7"/>
      <c r="Y2524" s="7"/>
      <c r="Z2524" s="7"/>
      <c r="AA2524" s="7"/>
      <c r="AB2524" s="7"/>
      <c r="AC2524" s="7"/>
      <c r="AD2524" s="7"/>
      <c r="AE2524" s="7"/>
    </row>
    <row r="2525">
      <c r="A2525" s="7"/>
      <c r="B2525" s="21"/>
      <c r="C2525" s="21"/>
      <c r="D2525" s="21"/>
      <c r="E2525" s="21"/>
      <c r="F2525" s="21"/>
      <c r="G2525" s="21"/>
      <c r="H2525" s="21"/>
      <c r="I2525" s="21"/>
      <c r="J2525" s="21"/>
      <c r="K2525" s="21"/>
      <c r="L2525" s="21"/>
      <c r="M2525" s="7"/>
      <c r="N2525" s="7"/>
      <c r="O2525" s="7"/>
      <c r="P2525" s="7"/>
      <c r="Q2525" s="7"/>
      <c r="R2525" s="7"/>
      <c r="S2525" s="7"/>
      <c r="T2525" s="7"/>
      <c r="U2525" s="7"/>
      <c r="V2525" s="7"/>
      <c r="W2525" s="7"/>
      <c r="X2525" s="7"/>
      <c r="Y2525" s="7"/>
      <c r="Z2525" s="7"/>
      <c r="AA2525" s="7"/>
      <c r="AB2525" s="7"/>
      <c r="AC2525" s="7"/>
      <c r="AD2525" s="7"/>
      <c r="AE2525" s="7"/>
    </row>
    <row r="2526">
      <c r="A2526" s="7"/>
      <c r="B2526" s="21"/>
      <c r="C2526" s="21"/>
      <c r="D2526" s="21"/>
      <c r="E2526" s="21"/>
      <c r="F2526" s="21"/>
      <c r="G2526" s="21"/>
      <c r="H2526" s="21"/>
      <c r="I2526" s="21"/>
      <c r="J2526" s="21"/>
      <c r="K2526" s="21"/>
      <c r="L2526" s="21"/>
      <c r="M2526" s="7"/>
      <c r="N2526" s="7"/>
      <c r="O2526" s="7"/>
      <c r="P2526" s="7"/>
      <c r="Q2526" s="7"/>
      <c r="R2526" s="7"/>
      <c r="S2526" s="7"/>
      <c r="T2526" s="7"/>
      <c r="U2526" s="7"/>
      <c r="V2526" s="7"/>
      <c r="W2526" s="7"/>
      <c r="X2526" s="7"/>
      <c r="Y2526" s="7"/>
      <c r="Z2526" s="7"/>
      <c r="AA2526" s="7"/>
      <c r="AB2526" s="7"/>
      <c r="AC2526" s="7"/>
      <c r="AD2526" s="7"/>
      <c r="AE2526" s="7"/>
    </row>
    <row r="2527">
      <c r="A2527" s="7"/>
      <c r="B2527" s="21"/>
      <c r="C2527" s="21"/>
      <c r="D2527" s="21"/>
      <c r="E2527" s="21"/>
      <c r="F2527" s="21"/>
      <c r="G2527" s="21"/>
      <c r="H2527" s="21"/>
      <c r="I2527" s="21"/>
      <c r="J2527" s="21"/>
      <c r="K2527" s="21"/>
      <c r="L2527" s="21"/>
      <c r="M2527" s="7"/>
      <c r="N2527" s="7"/>
      <c r="O2527" s="7"/>
      <c r="P2527" s="7"/>
      <c r="Q2527" s="7"/>
      <c r="R2527" s="7"/>
      <c r="S2527" s="7"/>
      <c r="T2527" s="7"/>
      <c r="U2527" s="7"/>
      <c r="V2527" s="7"/>
      <c r="W2527" s="7"/>
      <c r="X2527" s="7"/>
      <c r="Y2527" s="7"/>
      <c r="Z2527" s="7"/>
      <c r="AA2527" s="7"/>
      <c r="AB2527" s="7"/>
      <c r="AC2527" s="7"/>
      <c r="AD2527" s="7"/>
      <c r="AE2527" s="7"/>
    </row>
    <row r="2528">
      <c r="A2528" s="7"/>
      <c r="B2528" s="21"/>
      <c r="C2528" s="21"/>
      <c r="D2528" s="21"/>
      <c r="E2528" s="21"/>
      <c r="F2528" s="21"/>
      <c r="G2528" s="21"/>
      <c r="H2528" s="21"/>
      <c r="I2528" s="21"/>
      <c r="J2528" s="21"/>
      <c r="K2528" s="21"/>
      <c r="L2528" s="21"/>
      <c r="M2528" s="7"/>
      <c r="N2528" s="7"/>
      <c r="O2528" s="7"/>
      <c r="P2528" s="7"/>
      <c r="Q2528" s="7"/>
      <c r="R2528" s="7"/>
      <c r="S2528" s="7"/>
      <c r="T2528" s="7"/>
      <c r="U2528" s="7"/>
      <c r="V2528" s="7"/>
      <c r="W2528" s="7"/>
      <c r="X2528" s="7"/>
      <c r="Y2528" s="7"/>
      <c r="Z2528" s="7"/>
      <c r="AA2528" s="7"/>
      <c r="AB2528" s="7"/>
      <c r="AC2528" s="7"/>
      <c r="AD2528" s="7"/>
      <c r="AE2528" s="7"/>
    </row>
    <row r="2529">
      <c r="A2529" s="7"/>
      <c r="B2529" s="21"/>
      <c r="C2529" s="21"/>
      <c r="D2529" s="21"/>
      <c r="E2529" s="21"/>
      <c r="F2529" s="21"/>
      <c r="G2529" s="21"/>
      <c r="H2529" s="21"/>
      <c r="I2529" s="21"/>
      <c r="J2529" s="21"/>
      <c r="K2529" s="21"/>
      <c r="L2529" s="21"/>
      <c r="M2529" s="7"/>
      <c r="N2529" s="7"/>
      <c r="O2529" s="7"/>
      <c r="P2529" s="7"/>
      <c r="Q2529" s="7"/>
      <c r="R2529" s="7"/>
      <c r="S2529" s="7"/>
      <c r="T2529" s="7"/>
      <c r="U2529" s="7"/>
      <c r="V2529" s="7"/>
      <c r="W2529" s="7"/>
      <c r="X2529" s="7"/>
      <c r="Y2529" s="7"/>
      <c r="Z2529" s="7"/>
      <c r="AA2529" s="7"/>
      <c r="AB2529" s="7"/>
      <c r="AC2529" s="7"/>
      <c r="AD2529" s="7"/>
      <c r="AE2529" s="7"/>
    </row>
    <row r="2530">
      <c r="A2530" s="7"/>
      <c r="B2530" s="21"/>
      <c r="C2530" s="21"/>
      <c r="D2530" s="21"/>
      <c r="E2530" s="21"/>
      <c r="F2530" s="21"/>
      <c r="G2530" s="21"/>
      <c r="H2530" s="21"/>
      <c r="I2530" s="21"/>
      <c r="J2530" s="21"/>
      <c r="K2530" s="21"/>
      <c r="L2530" s="21"/>
      <c r="M2530" s="7"/>
      <c r="N2530" s="7"/>
      <c r="O2530" s="7"/>
      <c r="P2530" s="7"/>
      <c r="Q2530" s="7"/>
      <c r="R2530" s="7"/>
      <c r="S2530" s="7"/>
      <c r="T2530" s="7"/>
      <c r="U2530" s="7"/>
      <c r="V2530" s="7"/>
      <c r="W2530" s="7"/>
      <c r="X2530" s="7"/>
      <c r="Y2530" s="7"/>
      <c r="Z2530" s="7"/>
      <c r="AA2530" s="7"/>
      <c r="AB2530" s="7"/>
      <c r="AC2530" s="7"/>
      <c r="AD2530" s="7"/>
      <c r="AE2530" s="7"/>
    </row>
    <row r="2531">
      <c r="A2531" s="7"/>
      <c r="B2531" s="21"/>
      <c r="C2531" s="21"/>
      <c r="D2531" s="21"/>
      <c r="E2531" s="21"/>
      <c r="F2531" s="21"/>
      <c r="G2531" s="21"/>
      <c r="H2531" s="21"/>
      <c r="I2531" s="21"/>
      <c r="J2531" s="21"/>
      <c r="K2531" s="21"/>
      <c r="L2531" s="21"/>
      <c r="M2531" s="7"/>
      <c r="N2531" s="7"/>
      <c r="O2531" s="7"/>
      <c r="P2531" s="7"/>
      <c r="Q2531" s="7"/>
      <c r="R2531" s="7"/>
      <c r="S2531" s="7"/>
      <c r="T2531" s="7"/>
      <c r="U2531" s="7"/>
      <c r="V2531" s="7"/>
      <c r="W2531" s="7"/>
      <c r="X2531" s="7"/>
      <c r="Y2531" s="7"/>
      <c r="Z2531" s="7"/>
      <c r="AA2531" s="7"/>
      <c r="AB2531" s="7"/>
      <c r="AC2531" s="7"/>
      <c r="AD2531" s="7"/>
      <c r="AE2531" s="7"/>
    </row>
    <row r="2532">
      <c r="A2532" s="7"/>
      <c r="B2532" s="21"/>
      <c r="C2532" s="21"/>
      <c r="D2532" s="21"/>
      <c r="E2532" s="21"/>
      <c r="F2532" s="21"/>
      <c r="G2532" s="21"/>
      <c r="H2532" s="21"/>
      <c r="I2532" s="21"/>
      <c r="J2532" s="21"/>
      <c r="K2532" s="21"/>
      <c r="L2532" s="21"/>
      <c r="M2532" s="7"/>
      <c r="N2532" s="7"/>
      <c r="O2532" s="7"/>
      <c r="P2532" s="7"/>
      <c r="Q2532" s="7"/>
      <c r="R2532" s="7"/>
      <c r="S2532" s="7"/>
      <c r="T2532" s="7"/>
      <c r="U2532" s="7"/>
      <c r="V2532" s="7"/>
      <c r="W2532" s="7"/>
      <c r="X2532" s="7"/>
      <c r="Y2532" s="7"/>
      <c r="Z2532" s="7"/>
      <c r="AA2532" s="7"/>
      <c r="AB2532" s="7"/>
      <c r="AC2532" s="7"/>
      <c r="AD2532" s="7"/>
      <c r="AE2532" s="7"/>
    </row>
    <row r="2533">
      <c r="A2533" s="7"/>
      <c r="B2533" s="21"/>
      <c r="C2533" s="21"/>
      <c r="D2533" s="21"/>
      <c r="E2533" s="21"/>
      <c r="F2533" s="21"/>
      <c r="G2533" s="21"/>
      <c r="H2533" s="21"/>
      <c r="I2533" s="21"/>
      <c r="J2533" s="21"/>
      <c r="K2533" s="21"/>
      <c r="L2533" s="21"/>
      <c r="M2533" s="7"/>
      <c r="N2533" s="7"/>
      <c r="O2533" s="7"/>
      <c r="P2533" s="7"/>
      <c r="Q2533" s="7"/>
      <c r="R2533" s="7"/>
      <c r="S2533" s="7"/>
      <c r="T2533" s="7"/>
      <c r="U2533" s="7"/>
      <c r="V2533" s="7"/>
      <c r="W2533" s="7"/>
      <c r="X2533" s="7"/>
      <c r="Y2533" s="7"/>
      <c r="Z2533" s="7"/>
      <c r="AA2533" s="7"/>
      <c r="AB2533" s="7"/>
      <c r="AC2533" s="7"/>
      <c r="AD2533" s="7"/>
      <c r="AE2533" s="7"/>
    </row>
    <row r="2534">
      <c r="A2534" s="7"/>
      <c r="B2534" s="21"/>
      <c r="C2534" s="21"/>
      <c r="D2534" s="21"/>
      <c r="E2534" s="21"/>
      <c r="F2534" s="21"/>
      <c r="G2534" s="21"/>
      <c r="H2534" s="21"/>
      <c r="I2534" s="21"/>
      <c r="J2534" s="21"/>
      <c r="K2534" s="21"/>
      <c r="L2534" s="21"/>
      <c r="M2534" s="7"/>
      <c r="N2534" s="7"/>
      <c r="O2534" s="7"/>
      <c r="P2534" s="7"/>
      <c r="Q2534" s="7"/>
      <c r="R2534" s="7"/>
      <c r="S2534" s="7"/>
      <c r="T2534" s="7"/>
      <c r="U2534" s="7"/>
      <c r="V2534" s="7"/>
      <c r="W2534" s="7"/>
      <c r="X2534" s="7"/>
      <c r="Y2534" s="7"/>
      <c r="Z2534" s="7"/>
      <c r="AA2534" s="7"/>
      <c r="AB2534" s="7"/>
      <c r="AC2534" s="7"/>
      <c r="AD2534" s="7"/>
      <c r="AE2534" s="7"/>
    </row>
    <row r="2535">
      <c r="A2535" s="7"/>
      <c r="B2535" s="21"/>
      <c r="C2535" s="21"/>
      <c r="D2535" s="21"/>
      <c r="E2535" s="21"/>
      <c r="F2535" s="21"/>
      <c r="G2535" s="21"/>
      <c r="H2535" s="21"/>
      <c r="I2535" s="21"/>
      <c r="J2535" s="21"/>
      <c r="K2535" s="21"/>
      <c r="L2535" s="21"/>
      <c r="M2535" s="7"/>
      <c r="N2535" s="7"/>
      <c r="O2535" s="7"/>
      <c r="P2535" s="7"/>
      <c r="Q2535" s="7"/>
      <c r="R2535" s="7"/>
      <c r="S2535" s="7"/>
      <c r="T2535" s="7"/>
      <c r="U2535" s="7"/>
      <c r="V2535" s="7"/>
      <c r="W2535" s="7"/>
      <c r="X2535" s="7"/>
      <c r="Y2535" s="7"/>
      <c r="Z2535" s="7"/>
      <c r="AA2535" s="7"/>
      <c r="AB2535" s="7"/>
      <c r="AC2535" s="7"/>
      <c r="AD2535" s="7"/>
      <c r="AE2535" s="7"/>
    </row>
    <row r="2536">
      <c r="A2536" s="7"/>
      <c r="B2536" s="21"/>
      <c r="C2536" s="21"/>
      <c r="D2536" s="21"/>
      <c r="E2536" s="21"/>
      <c r="F2536" s="21"/>
      <c r="G2536" s="21"/>
      <c r="H2536" s="21"/>
      <c r="I2536" s="21"/>
      <c r="J2536" s="21"/>
      <c r="K2536" s="21"/>
      <c r="L2536" s="21"/>
      <c r="M2536" s="7"/>
      <c r="N2536" s="7"/>
      <c r="O2536" s="7"/>
      <c r="P2536" s="7"/>
      <c r="Q2536" s="7"/>
      <c r="R2536" s="7"/>
      <c r="S2536" s="7"/>
      <c r="T2536" s="7"/>
      <c r="U2536" s="7"/>
      <c r="V2536" s="7"/>
      <c r="W2536" s="7"/>
      <c r="X2536" s="7"/>
      <c r="Y2536" s="7"/>
      <c r="Z2536" s="7"/>
      <c r="AA2536" s="7"/>
      <c r="AB2536" s="7"/>
      <c r="AC2536" s="7"/>
      <c r="AD2536" s="7"/>
      <c r="AE2536" s="7"/>
    </row>
    <row r="2537">
      <c r="A2537" s="7"/>
      <c r="B2537" s="21"/>
      <c r="C2537" s="21"/>
      <c r="D2537" s="21"/>
      <c r="E2537" s="21"/>
      <c r="F2537" s="21"/>
      <c r="G2537" s="21"/>
      <c r="H2537" s="21"/>
      <c r="I2537" s="21"/>
      <c r="J2537" s="21"/>
      <c r="K2537" s="21"/>
      <c r="L2537" s="21"/>
      <c r="M2537" s="7"/>
      <c r="N2537" s="7"/>
      <c r="O2537" s="7"/>
      <c r="P2537" s="7"/>
      <c r="Q2537" s="7"/>
      <c r="R2537" s="7"/>
      <c r="S2537" s="7"/>
      <c r="T2537" s="7"/>
      <c r="U2537" s="7"/>
      <c r="V2537" s="7"/>
      <c r="W2537" s="7"/>
      <c r="X2537" s="7"/>
      <c r="Y2537" s="7"/>
      <c r="Z2537" s="7"/>
      <c r="AA2537" s="7"/>
      <c r="AB2537" s="7"/>
      <c r="AC2537" s="7"/>
      <c r="AD2537" s="7"/>
      <c r="AE2537" s="7"/>
    </row>
    <row r="2538">
      <c r="A2538" s="7"/>
      <c r="B2538" s="21"/>
      <c r="C2538" s="21"/>
      <c r="D2538" s="21"/>
      <c r="E2538" s="21"/>
      <c r="F2538" s="21"/>
      <c r="G2538" s="21"/>
      <c r="H2538" s="21"/>
      <c r="I2538" s="21"/>
      <c r="J2538" s="21"/>
      <c r="K2538" s="21"/>
      <c r="L2538" s="21"/>
      <c r="M2538" s="7"/>
      <c r="N2538" s="7"/>
      <c r="O2538" s="7"/>
      <c r="P2538" s="7"/>
      <c r="Q2538" s="7"/>
      <c r="R2538" s="7"/>
      <c r="S2538" s="7"/>
      <c r="T2538" s="7"/>
      <c r="U2538" s="7"/>
      <c r="V2538" s="7"/>
      <c r="W2538" s="7"/>
      <c r="X2538" s="7"/>
      <c r="Y2538" s="7"/>
      <c r="Z2538" s="7"/>
      <c r="AA2538" s="7"/>
      <c r="AB2538" s="7"/>
      <c r="AC2538" s="7"/>
      <c r="AD2538" s="7"/>
      <c r="AE2538" s="7"/>
    </row>
    <row r="2539">
      <c r="A2539" s="7"/>
      <c r="B2539" s="21"/>
      <c r="C2539" s="21"/>
      <c r="D2539" s="21"/>
      <c r="E2539" s="21"/>
      <c r="F2539" s="21"/>
      <c r="G2539" s="21"/>
      <c r="H2539" s="21"/>
      <c r="I2539" s="21"/>
      <c r="J2539" s="21"/>
      <c r="K2539" s="21"/>
      <c r="L2539" s="21"/>
      <c r="M2539" s="7"/>
      <c r="N2539" s="7"/>
      <c r="O2539" s="7"/>
      <c r="P2539" s="7"/>
      <c r="Q2539" s="7"/>
      <c r="R2539" s="7"/>
      <c r="S2539" s="7"/>
      <c r="T2539" s="7"/>
      <c r="U2539" s="7"/>
      <c r="V2539" s="7"/>
      <c r="W2539" s="7"/>
      <c r="X2539" s="7"/>
      <c r="Y2539" s="7"/>
      <c r="Z2539" s="7"/>
      <c r="AA2539" s="7"/>
      <c r="AB2539" s="7"/>
      <c r="AC2539" s="7"/>
      <c r="AD2539" s="7"/>
      <c r="AE2539" s="7"/>
    </row>
    <row r="2540">
      <c r="A2540" s="7"/>
      <c r="B2540" s="21"/>
      <c r="C2540" s="21"/>
      <c r="D2540" s="21"/>
      <c r="E2540" s="21"/>
      <c r="F2540" s="21"/>
      <c r="G2540" s="21"/>
      <c r="H2540" s="21"/>
      <c r="I2540" s="21"/>
      <c r="J2540" s="21"/>
      <c r="K2540" s="21"/>
      <c r="L2540" s="21"/>
      <c r="M2540" s="7"/>
      <c r="N2540" s="7"/>
      <c r="O2540" s="7"/>
      <c r="P2540" s="7"/>
      <c r="Q2540" s="7"/>
      <c r="R2540" s="7"/>
      <c r="S2540" s="7"/>
      <c r="T2540" s="7"/>
      <c r="U2540" s="7"/>
      <c r="V2540" s="7"/>
      <c r="W2540" s="7"/>
      <c r="X2540" s="7"/>
      <c r="Y2540" s="7"/>
      <c r="Z2540" s="7"/>
      <c r="AA2540" s="7"/>
      <c r="AB2540" s="7"/>
      <c r="AC2540" s="7"/>
      <c r="AD2540" s="7"/>
      <c r="AE2540" s="7"/>
    </row>
    <row r="2541">
      <c r="A2541" s="7"/>
      <c r="B2541" s="21"/>
      <c r="C2541" s="21"/>
      <c r="D2541" s="21"/>
      <c r="E2541" s="21"/>
      <c r="F2541" s="21"/>
      <c r="G2541" s="21"/>
      <c r="H2541" s="21"/>
      <c r="I2541" s="21"/>
      <c r="J2541" s="21"/>
      <c r="K2541" s="21"/>
      <c r="L2541" s="21"/>
      <c r="M2541" s="7"/>
      <c r="N2541" s="7"/>
      <c r="O2541" s="7"/>
      <c r="P2541" s="7"/>
      <c r="Q2541" s="7"/>
      <c r="R2541" s="7"/>
      <c r="S2541" s="7"/>
      <c r="T2541" s="7"/>
      <c r="U2541" s="7"/>
      <c r="V2541" s="7"/>
      <c r="W2541" s="7"/>
      <c r="X2541" s="7"/>
      <c r="Y2541" s="7"/>
      <c r="Z2541" s="7"/>
      <c r="AA2541" s="7"/>
      <c r="AB2541" s="7"/>
      <c r="AC2541" s="7"/>
      <c r="AD2541" s="7"/>
      <c r="AE2541" s="7"/>
    </row>
    <row r="2542">
      <c r="A2542" s="7"/>
      <c r="B2542" s="21"/>
      <c r="C2542" s="21"/>
      <c r="D2542" s="21"/>
      <c r="E2542" s="21"/>
      <c r="F2542" s="21"/>
      <c r="G2542" s="21"/>
      <c r="H2542" s="21"/>
      <c r="I2542" s="21"/>
      <c r="J2542" s="21"/>
      <c r="K2542" s="21"/>
      <c r="L2542" s="21"/>
      <c r="M2542" s="7"/>
      <c r="N2542" s="7"/>
      <c r="O2542" s="7"/>
      <c r="P2542" s="7"/>
      <c r="Q2542" s="7"/>
      <c r="R2542" s="7"/>
      <c r="S2542" s="7"/>
      <c r="T2542" s="7"/>
      <c r="U2542" s="7"/>
      <c r="V2542" s="7"/>
      <c r="W2542" s="7"/>
      <c r="X2542" s="7"/>
      <c r="Y2542" s="7"/>
      <c r="Z2542" s="7"/>
      <c r="AA2542" s="7"/>
      <c r="AB2542" s="7"/>
      <c r="AC2542" s="7"/>
      <c r="AD2542" s="7"/>
      <c r="AE2542" s="7"/>
    </row>
    <row r="2543">
      <c r="A2543" s="7"/>
      <c r="B2543" s="21"/>
      <c r="C2543" s="21"/>
      <c r="D2543" s="21"/>
      <c r="E2543" s="21"/>
      <c r="F2543" s="21"/>
      <c r="G2543" s="21"/>
      <c r="H2543" s="21"/>
      <c r="I2543" s="21"/>
      <c r="J2543" s="21"/>
      <c r="K2543" s="21"/>
      <c r="L2543" s="21"/>
      <c r="M2543" s="7"/>
      <c r="N2543" s="7"/>
      <c r="O2543" s="7"/>
      <c r="P2543" s="7"/>
      <c r="Q2543" s="7"/>
      <c r="R2543" s="7"/>
      <c r="S2543" s="7"/>
      <c r="T2543" s="7"/>
      <c r="U2543" s="7"/>
      <c r="V2543" s="7"/>
      <c r="W2543" s="7"/>
      <c r="X2543" s="7"/>
      <c r="Y2543" s="7"/>
      <c r="Z2543" s="7"/>
      <c r="AA2543" s="7"/>
      <c r="AB2543" s="7"/>
      <c r="AC2543" s="7"/>
      <c r="AD2543" s="7"/>
      <c r="AE2543" s="7"/>
    </row>
    <row r="2544">
      <c r="A2544" s="7"/>
      <c r="B2544" s="21"/>
      <c r="C2544" s="21"/>
      <c r="D2544" s="21"/>
      <c r="E2544" s="21"/>
      <c r="F2544" s="21"/>
      <c r="G2544" s="21"/>
      <c r="H2544" s="21"/>
      <c r="I2544" s="21"/>
      <c r="J2544" s="21"/>
      <c r="K2544" s="21"/>
      <c r="L2544" s="21"/>
      <c r="M2544" s="7"/>
      <c r="N2544" s="7"/>
      <c r="O2544" s="7"/>
      <c r="P2544" s="7"/>
      <c r="Q2544" s="7"/>
      <c r="R2544" s="7"/>
      <c r="S2544" s="7"/>
      <c r="T2544" s="7"/>
      <c r="U2544" s="7"/>
      <c r="V2544" s="7"/>
      <c r="W2544" s="7"/>
      <c r="X2544" s="7"/>
      <c r="Y2544" s="7"/>
      <c r="Z2544" s="7"/>
      <c r="AA2544" s="7"/>
      <c r="AB2544" s="7"/>
      <c r="AC2544" s="7"/>
      <c r="AD2544" s="7"/>
      <c r="AE2544" s="7"/>
    </row>
    <row r="2545">
      <c r="A2545" s="7"/>
      <c r="B2545" s="21"/>
      <c r="C2545" s="21"/>
      <c r="D2545" s="21"/>
      <c r="E2545" s="21"/>
      <c r="F2545" s="21"/>
      <c r="G2545" s="21"/>
      <c r="H2545" s="21"/>
      <c r="I2545" s="21"/>
      <c r="J2545" s="21"/>
      <c r="K2545" s="21"/>
      <c r="L2545" s="21"/>
      <c r="M2545" s="7"/>
      <c r="N2545" s="7"/>
      <c r="O2545" s="7"/>
      <c r="P2545" s="7"/>
      <c r="Q2545" s="7"/>
      <c r="R2545" s="7"/>
      <c r="S2545" s="7"/>
      <c r="T2545" s="7"/>
      <c r="U2545" s="7"/>
      <c r="V2545" s="7"/>
      <c r="W2545" s="7"/>
      <c r="X2545" s="7"/>
      <c r="Y2545" s="7"/>
      <c r="Z2545" s="7"/>
      <c r="AA2545" s="7"/>
      <c r="AB2545" s="7"/>
      <c r="AC2545" s="7"/>
      <c r="AD2545" s="7"/>
      <c r="AE2545" s="7"/>
    </row>
    <row r="2546">
      <c r="A2546" s="7"/>
      <c r="B2546" s="21"/>
      <c r="C2546" s="21"/>
      <c r="D2546" s="21"/>
      <c r="E2546" s="21"/>
      <c r="F2546" s="21"/>
      <c r="G2546" s="21"/>
      <c r="H2546" s="21"/>
      <c r="I2546" s="21"/>
      <c r="J2546" s="21"/>
      <c r="K2546" s="21"/>
      <c r="L2546" s="21"/>
      <c r="M2546" s="7"/>
      <c r="N2546" s="7"/>
      <c r="O2546" s="7"/>
      <c r="P2546" s="7"/>
      <c r="Q2546" s="7"/>
      <c r="R2546" s="7"/>
      <c r="S2546" s="7"/>
      <c r="T2546" s="7"/>
      <c r="U2546" s="7"/>
      <c r="V2546" s="7"/>
      <c r="W2546" s="7"/>
      <c r="X2546" s="7"/>
      <c r="Y2546" s="7"/>
      <c r="Z2546" s="7"/>
      <c r="AA2546" s="7"/>
      <c r="AB2546" s="7"/>
      <c r="AC2546" s="7"/>
      <c r="AD2546" s="7"/>
      <c r="AE2546" s="7"/>
    </row>
    <row r="2547">
      <c r="A2547" s="7"/>
      <c r="B2547" s="21"/>
      <c r="C2547" s="21"/>
      <c r="D2547" s="21"/>
      <c r="E2547" s="21"/>
      <c r="F2547" s="21"/>
      <c r="G2547" s="21"/>
      <c r="H2547" s="21"/>
      <c r="I2547" s="21"/>
      <c r="J2547" s="21"/>
      <c r="K2547" s="21"/>
      <c r="L2547" s="21"/>
      <c r="M2547" s="7"/>
      <c r="N2547" s="7"/>
      <c r="O2547" s="7"/>
      <c r="P2547" s="7"/>
      <c r="Q2547" s="7"/>
      <c r="R2547" s="7"/>
      <c r="S2547" s="7"/>
      <c r="T2547" s="7"/>
      <c r="U2547" s="7"/>
      <c r="V2547" s="7"/>
      <c r="W2547" s="7"/>
      <c r="X2547" s="7"/>
      <c r="Y2547" s="7"/>
      <c r="Z2547" s="7"/>
      <c r="AA2547" s="7"/>
      <c r="AB2547" s="7"/>
      <c r="AC2547" s="7"/>
      <c r="AD2547" s="7"/>
      <c r="AE2547" s="7"/>
    </row>
    <row r="2548">
      <c r="A2548" s="7"/>
      <c r="B2548" s="21"/>
      <c r="C2548" s="21"/>
      <c r="D2548" s="21"/>
      <c r="E2548" s="21"/>
      <c r="F2548" s="21"/>
      <c r="G2548" s="21"/>
      <c r="H2548" s="21"/>
      <c r="I2548" s="21"/>
      <c r="J2548" s="21"/>
      <c r="K2548" s="21"/>
      <c r="L2548" s="21"/>
      <c r="M2548" s="7"/>
      <c r="N2548" s="7"/>
      <c r="O2548" s="7"/>
      <c r="P2548" s="7"/>
      <c r="Q2548" s="7"/>
      <c r="R2548" s="7"/>
      <c r="S2548" s="7"/>
      <c r="T2548" s="7"/>
      <c r="U2548" s="7"/>
      <c r="V2548" s="7"/>
      <c r="W2548" s="7"/>
      <c r="X2548" s="7"/>
      <c r="Y2548" s="7"/>
      <c r="Z2548" s="7"/>
      <c r="AA2548" s="7"/>
      <c r="AB2548" s="7"/>
      <c r="AC2548" s="7"/>
      <c r="AD2548" s="7"/>
      <c r="AE2548" s="7"/>
    </row>
    <row r="2549">
      <c r="A2549" s="7"/>
      <c r="B2549" s="21"/>
      <c r="C2549" s="21"/>
      <c r="D2549" s="21"/>
      <c r="E2549" s="21"/>
      <c r="F2549" s="21"/>
      <c r="G2549" s="21"/>
      <c r="H2549" s="21"/>
      <c r="I2549" s="21"/>
      <c r="J2549" s="21"/>
      <c r="K2549" s="21"/>
      <c r="L2549" s="21"/>
      <c r="M2549" s="7"/>
      <c r="N2549" s="7"/>
      <c r="O2549" s="7"/>
      <c r="P2549" s="7"/>
      <c r="Q2549" s="7"/>
      <c r="R2549" s="7"/>
      <c r="S2549" s="7"/>
      <c r="T2549" s="7"/>
      <c r="U2549" s="7"/>
      <c r="V2549" s="7"/>
      <c r="W2549" s="7"/>
      <c r="X2549" s="7"/>
      <c r="Y2549" s="7"/>
      <c r="Z2549" s="7"/>
      <c r="AA2549" s="7"/>
      <c r="AB2549" s="7"/>
      <c r="AC2549" s="7"/>
      <c r="AD2549" s="7"/>
      <c r="AE2549" s="7"/>
    </row>
    <row r="2550">
      <c r="A2550" s="7"/>
      <c r="B2550" s="21"/>
      <c r="C2550" s="21"/>
      <c r="D2550" s="21"/>
      <c r="E2550" s="21"/>
      <c r="F2550" s="21"/>
      <c r="G2550" s="21"/>
      <c r="H2550" s="21"/>
      <c r="I2550" s="21"/>
      <c r="J2550" s="21"/>
      <c r="K2550" s="21"/>
      <c r="L2550" s="21"/>
      <c r="M2550" s="7"/>
      <c r="N2550" s="7"/>
      <c r="O2550" s="7"/>
      <c r="P2550" s="7"/>
      <c r="Q2550" s="7"/>
      <c r="R2550" s="7"/>
      <c r="S2550" s="7"/>
      <c r="T2550" s="7"/>
      <c r="U2550" s="7"/>
      <c r="V2550" s="7"/>
      <c r="W2550" s="7"/>
      <c r="X2550" s="7"/>
      <c r="Y2550" s="7"/>
      <c r="Z2550" s="7"/>
      <c r="AA2550" s="7"/>
      <c r="AB2550" s="7"/>
      <c r="AC2550" s="7"/>
      <c r="AD2550" s="7"/>
      <c r="AE2550" s="7"/>
    </row>
    <row r="2551">
      <c r="A2551" s="7"/>
      <c r="B2551" s="21"/>
      <c r="C2551" s="21"/>
      <c r="D2551" s="21"/>
      <c r="E2551" s="21"/>
      <c r="F2551" s="21"/>
      <c r="G2551" s="21"/>
      <c r="H2551" s="21"/>
      <c r="I2551" s="21"/>
      <c r="J2551" s="21"/>
      <c r="K2551" s="21"/>
      <c r="L2551" s="21"/>
      <c r="M2551" s="7"/>
      <c r="N2551" s="7"/>
      <c r="O2551" s="7"/>
      <c r="P2551" s="7"/>
      <c r="Q2551" s="7"/>
      <c r="R2551" s="7"/>
      <c r="S2551" s="7"/>
      <c r="T2551" s="7"/>
      <c r="U2551" s="7"/>
      <c r="V2551" s="7"/>
      <c r="W2551" s="7"/>
      <c r="X2551" s="7"/>
      <c r="Y2551" s="7"/>
      <c r="Z2551" s="7"/>
      <c r="AA2551" s="7"/>
      <c r="AB2551" s="7"/>
      <c r="AC2551" s="7"/>
      <c r="AD2551" s="7"/>
      <c r="AE2551" s="7"/>
    </row>
    <row r="2552">
      <c r="A2552" s="7"/>
      <c r="B2552" s="21"/>
      <c r="C2552" s="21"/>
      <c r="D2552" s="21"/>
      <c r="E2552" s="21"/>
      <c r="F2552" s="21"/>
      <c r="G2552" s="21"/>
      <c r="H2552" s="21"/>
      <c r="I2552" s="21"/>
      <c r="J2552" s="21"/>
      <c r="K2552" s="21"/>
      <c r="L2552" s="21"/>
      <c r="M2552" s="7"/>
      <c r="N2552" s="7"/>
      <c r="O2552" s="7"/>
      <c r="P2552" s="7"/>
      <c r="Q2552" s="7"/>
      <c r="R2552" s="7"/>
      <c r="S2552" s="7"/>
      <c r="T2552" s="7"/>
      <c r="U2552" s="7"/>
      <c r="V2552" s="7"/>
      <c r="W2552" s="7"/>
      <c r="X2552" s="7"/>
      <c r="Y2552" s="7"/>
      <c r="Z2552" s="7"/>
      <c r="AA2552" s="7"/>
      <c r="AB2552" s="7"/>
      <c r="AC2552" s="7"/>
      <c r="AD2552" s="7"/>
      <c r="AE2552" s="7"/>
    </row>
    <row r="2553">
      <c r="A2553" s="7"/>
      <c r="B2553" s="21"/>
      <c r="C2553" s="21"/>
      <c r="D2553" s="21"/>
      <c r="E2553" s="21"/>
      <c r="F2553" s="21"/>
      <c r="G2553" s="21"/>
      <c r="H2553" s="21"/>
      <c r="I2553" s="21"/>
      <c r="J2553" s="21"/>
      <c r="K2553" s="21"/>
      <c r="L2553" s="21"/>
      <c r="M2553" s="7"/>
      <c r="N2553" s="7"/>
      <c r="O2553" s="7"/>
      <c r="P2553" s="7"/>
      <c r="Q2553" s="7"/>
      <c r="R2553" s="7"/>
      <c r="S2553" s="7"/>
      <c r="T2553" s="7"/>
      <c r="U2553" s="7"/>
      <c r="V2553" s="7"/>
      <c r="W2553" s="7"/>
      <c r="X2553" s="7"/>
      <c r="Y2553" s="7"/>
      <c r="Z2553" s="7"/>
      <c r="AA2553" s="7"/>
      <c r="AB2553" s="7"/>
      <c r="AC2553" s="7"/>
      <c r="AD2553" s="7"/>
      <c r="AE2553" s="7"/>
    </row>
    <row r="2554">
      <c r="A2554" s="7"/>
      <c r="B2554" s="21"/>
      <c r="C2554" s="21"/>
      <c r="D2554" s="21"/>
      <c r="E2554" s="21"/>
      <c r="F2554" s="21"/>
      <c r="G2554" s="21"/>
      <c r="H2554" s="21"/>
      <c r="I2554" s="21"/>
      <c r="J2554" s="21"/>
      <c r="K2554" s="21"/>
      <c r="L2554" s="21"/>
      <c r="M2554" s="7"/>
      <c r="N2554" s="7"/>
      <c r="O2554" s="7"/>
      <c r="P2554" s="7"/>
      <c r="Q2554" s="7"/>
      <c r="R2554" s="7"/>
      <c r="S2554" s="7"/>
      <c r="T2554" s="7"/>
      <c r="U2554" s="7"/>
      <c r="V2554" s="7"/>
      <c r="W2554" s="7"/>
      <c r="X2554" s="7"/>
      <c r="Y2554" s="7"/>
      <c r="Z2554" s="7"/>
      <c r="AA2554" s="7"/>
      <c r="AB2554" s="7"/>
      <c r="AC2554" s="7"/>
      <c r="AD2554" s="7"/>
      <c r="AE2554" s="7"/>
    </row>
    <row r="2555">
      <c r="A2555" s="7"/>
      <c r="B2555" s="21"/>
      <c r="C2555" s="21"/>
      <c r="D2555" s="21"/>
      <c r="E2555" s="21"/>
      <c r="F2555" s="21"/>
      <c r="G2555" s="21"/>
      <c r="H2555" s="21"/>
      <c r="I2555" s="21"/>
      <c r="J2555" s="21"/>
      <c r="K2555" s="21"/>
      <c r="L2555" s="21"/>
      <c r="M2555" s="7"/>
      <c r="N2555" s="7"/>
      <c r="O2555" s="7"/>
      <c r="P2555" s="7"/>
      <c r="Q2555" s="7"/>
      <c r="R2555" s="7"/>
      <c r="S2555" s="7"/>
      <c r="T2555" s="7"/>
      <c r="U2555" s="7"/>
      <c r="V2555" s="7"/>
      <c r="W2555" s="7"/>
      <c r="X2555" s="7"/>
      <c r="Y2555" s="7"/>
      <c r="Z2555" s="7"/>
      <c r="AA2555" s="7"/>
      <c r="AB2555" s="7"/>
      <c r="AC2555" s="7"/>
      <c r="AD2555" s="7"/>
      <c r="AE2555" s="7"/>
    </row>
    <row r="2556">
      <c r="A2556" s="7"/>
      <c r="B2556" s="21"/>
      <c r="C2556" s="21"/>
      <c r="D2556" s="21"/>
      <c r="E2556" s="21"/>
      <c r="F2556" s="21"/>
      <c r="G2556" s="21"/>
      <c r="H2556" s="21"/>
      <c r="I2556" s="21"/>
      <c r="J2556" s="21"/>
      <c r="K2556" s="21"/>
      <c r="L2556" s="21"/>
      <c r="M2556" s="7"/>
      <c r="N2556" s="7"/>
      <c r="O2556" s="7"/>
      <c r="P2556" s="7"/>
      <c r="Q2556" s="7"/>
      <c r="R2556" s="7"/>
      <c r="S2556" s="7"/>
      <c r="T2556" s="7"/>
      <c r="U2556" s="7"/>
      <c r="V2556" s="7"/>
      <c r="W2556" s="7"/>
      <c r="X2556" s="7"/>
      <c r="Y2556" s="7"/>
      <c r="Z2556" s="7"/>
      <c r="AA2556" s="7"/>
      <c r="AB2556" s="7"/>
      <c r="AC2556" s="7"/>
      <c r="AD2556" s="7"/>
      <c r="AE2556" s="7"/>
    </row>
    <row r="2557">
      <c r="A2557" s="7"/>
      <c r="B2557" s="21"/>
      <c r="C2557" s="21"/>
      <c r="D2557" s="21"/>
      <c r="E2557" s="21"/>
      <c r="F2557" s="21"/>
      <c r="G2557" s="21"/>
      <c r="H2557" s="21"/>
      <c r="I2557" s="21"/>
      <c r="J2557" s="21"/>
      <c r="K2557" s="21"/>
      <c r="L2557" s="21"/>
      <c r="M2557" s="7"/>
      <c r="N2557" s="7"/>
      <c r="O2557" s="7"/>
      <c r="P2557" s="7"/>
      <c r="Q2557" s="7"/>
      <c r="R2557" s="7"/>
      <c r="S2557" s="7"/>
      <c r="T2557" s="7"/>
      <c r="U2557" s="7"/>
      <c r="V2557" s="7"/>
      <c r="W2557" s="7"/>
      <c r="X2557" s="7"/>
      <c r="Y2557" s="7"/>
      <c r="Z2557" s="7"/>
      <c r="AA2557" s="7"/>
      <c r="AB2557" s="7"/>
      <c r="AC2557" s="7"/>
      <c r="AD2557" s="7"/>
      <c r="AE2557" s="7"/>
    </row>
    <row r="2558">
      <c r="A2558" s="7"/>
      <c r="B2558" s="21"/>
      <c r="C2558" s="21"/>
      <c r="D2558" s="21"/>
      <c r="E2558" s="21"/>
      <c r="F2558" s="21"/>
      <c r="G2558" s="21"/>
      <c r="H2558" s="21"/>
      <c r="I2558" s="21"/>
      <c r="J2558" s="21"/>
      <c r="K2558" s="21"/>
      <c r="L2558" s="21"/>
      <c r="M2558" s="7"/>
      <c r="N2558" s="7"/>
      <c r="O2558" s="7"/>
      <c r="P2558" s="7"/>
      <c r="Q2558" s="7"/>
      <c r="R2558" s="7"/>
      <c r="S2558" s="7"/>
      <c r="T2558" s="7"/>
      <c r="U2558" s="7"/>
      <c r="V2558" s="7"/>
      <c r="W2558" s="7"/>
      <c r="X2558" s="7"/>
      <c r="Y2558" s="7"/>
      <c r="Z2558" s="7"/>
      <c r="AA2558" s="7"/>
      <c r="AB2558" s="7"/>
      <c r="AC2558" s="7"/>
      <c r="AD2558" s="7"/>
      <c r="AE2558" s="7"/>
    </row>
    <row r="2559">
      <c r="A2559" s="7"/>
      <c r="B2559" s="21"/>
      <c r="C2559" s="21"/>
      <c r="D2559" s="21"/>
      <c r="E2559" s="21"/>
      <c r="F2559" s="21"/>
      <c r="G2559" s="21"/>
      <c r="H2559" s="21"/>
      <c r="I2559" s="21"/>
      <c r="J2559" s="21"/>
      <c r="K2559" s="21"/>
      <c r="L2559" s="21"/>
      <c r="M2559" s="7"/>
      <c r="N2559" s="7"/>
      <c r="O2559" s="7"/>
      <c r="P2559" s="7"/>
      <c r="Q2559" s="7"/>
      <c r="R2559" s="7"/>
      <c r="S2559" s="7"/>
      <c r="T2559" s="7"/>
      <c r="U2559" s="7"/>
      <c r="V2559" s="7"/>
      <c r="W2559" s="7"/>
      <c r="X2559" s="7"/>
      <c r="Y2559" s="7"/>
      <c r="Z2559" s="7"/>
      <c r="AA2559" s="7"/>
      <c r="AB2559" s="7"/>
      <c r="AC2559" s="7"/>
      <c r="AD2559" s="7"/>
      <c r="AE2559" s="7"/>
    </row>
    <row r="2560">
      <c r="A2560" s="7"/>
      <c r="B2560" s="21"/>
      <c r="C2560" s="21"/>
      <c r="D2560" s="21"/>
      <c r="E2560" s="21"/>
      <c r="F2560" s="21"/>
      <c r="G2560" s="21"/>
      <c r="H2560" s="21"/>
      <c r="I2560" s="21"/>
      <c r="J2560" s="21"/>
      <c r="K2560" s="21"/>
      <c r="L2560" s="21"/>
      <c r="M2560" s="7"/>
      <c r="N2560" s="7"/>
      <c r="O2560" s="7"/>
      <c r="P2560" s="7"/>
      <c r="Q2560" s="7"/>
      <c r="R2560" s="7"/>
      <c r="S2560" s="7"/>
      <c r="T2560" s="7"/>
      <c r="U2560" s="7"/>
      <c r="V2560" s="7"/>
      <c r="W2560" s="7"/>
      <c r="X2560" s="7"/>
      <c r="Y2560" s="7"/>
      <c r="Z2560" s="7"/>
      <c r="AA2560" s="7"/>
      <c r="AB2560" s="7"/>
      <c r="AC2560" s="7"/>
      <c r="AD2560" s="7"/>
      <c r="AE2560" s="7"/>
    </row>
    <row r="2561">
      <c r="A2561" s="7"/>
      <c r="B2561" s="21"/>
      <c r="C2561" s="21"/>
      <c r="D2561" s="21"/>
      <c r="E2561" s="21"/>
      <c r="F2561" s="21"/>
      <c r="G2561" s="21"/>
      <c r="H2561" s="21"/>
      <c r="I2561" s="21"/>
      <c r="J2561" s="21"/>
      <c r="K2561" s="21"/>
      <c r="L2561" s="21"/>
      <c r="M2561" s="7"/>
      <c r="N2561" s="7"/>
      <c r="O2561" s="7"/>
      <c r="P2561" s="7"/>
      <c r="Q2561" s="7"/>
      <c r="R2561" s="7"/>
      <c r="S2561" s="7"/>
      <c r="T2561" s="7"/>
      <c r="U2561" s="7"/>
      <c r="V2561" s="7"/>
      <c r="W2561" s="7"/>
      <c r="X2561" s="7"/>
      <c r="Y2561" s="7"/>
      <c r="Z2561" s="7"/>
      <c r="AA2561" s="7"/>
      <c r="AB2561" s="7"/>
      <c r="AC2561" s="7"/>
      <c r="AD2561" s="7"/>
      <c r="AE2561" s="7"/>
    </row>
    <row r="2562">
      <c r="A2562" s="7"/>
      <c r="B2562" s="21"/>
      <c r="C2562" s="21"/>
      <c r="D2562" s="21"/>
      <c r="E2562" s="21"/>
      <c r="F2562" s="21"/>
      <c r="G2562" s="21"/>
      <c r="H2562" s="21"/>
      <c r="I2562" s="21"/>
      <c r="J2562" s="21"/>
      <c r="K2562" s="21"/>
      <c r="L2562" s="21"/>
      <c r="M2562" s="7"/>
      <c r="N2562" s="7"/>
      <c r="O2562" s="7"/>
      <c r="P2562" s="7"/>
      <c r="Q2562" s="7"/>
      <c r="R2562" s="7"/>
      <c r="S2562" s="7"/>
      <c r="T2562" s="7"/>
      <c r="U2562" s="7"/>
      <c r="V2562" s="7"/>
      <c r="W2562" s="7"/>
      <c r="X2562" s="7"/>
      <c r="Y2562" s="7"/>
      <c r="Z2562" s="7"/>
      <c r="AA2562" s="7"/>
      <c r="AB2562" s="7"/>
      <c r="AC2562" s="7"/>
      <c r="AD2562" s="7"/>
      <c r="AE2562" s="7"/>
    </row>
    <row r="2563">
      <c r="A2563" s="7"/>
      <c r="B2563" s="21"/>
      <c r="C2563" s="21"/>
      <c r="D2563" s="21"/>
      <c r="E2563" s="21"/>
      <c r="F2563" s="21"/>
      <c r="G2563" s="21"/>
      <c r="H2563" s="21"/>
      <c r="I2563" s="21"/>
      <c r="J2563" s="21"/>
      <c r="K2563" s="21"/>
      <c r="L2563" s="21"/>
      <c r="M2563" s="7"/>
      <c r="N2563" s="7"/>
      <c r="O2563" s="7"/>
      <c r="P2563" s="7"/>
      <c r="Q2563" s="7"/>
      <c r="R2563" s="7"/>
      <c r="S2563" s="7"/>
      <c r="T2563" s="7"/>
      <c r="U2563" s="7"/>
      <c r="V2563" s="7"/>
      <c r="W2563" s="7"/>
      <c r="X2563" s="7"/>
      <c r="Y2563" s="7"/>
      <c r="Z2563" s="7"/>
      <c r="AA2563" s="7"/>
      <c r="AB2563" s="7"/>
      <c r="AC2563" s="7"/>
      <c r="AD2563" s="7"/>
      <c r="AE2563" s="7"/>
    </row>
    <row r="2564">
      <c r="A2564" s="7"/>
      <c r="B2564" s="21"/>
      <c r="C2564" s="21"/>
      <c r="D2564" s="21"/>
      <c r="E2564" s="21"/>
      <c r="F2564" s="21"/>
      <c r="G2564" s="21"/>
      <c r="H2564" s="21"/>
      <c r="I2564" s="21"/>
      <c r="J2564" s="21"/>
      <c r="K2564" s="21"/>
      <c r="L2564" s="21"/>
      <c r="M2564" s="7"/>
      <c r="N2564" s="7"/>
      <c r="O2564" s="7"/>
      <c r="P2564" s="7"/>
      <c r="Q2564" s="7"/>
      <c r="R2564" s="7"/>
      <c r="S2564" s="7"/>
      <c r="T2564" s="7"/>
      <c r="U2564" s="7"/>
      <c r="V2564" s="7"/>
      <c r="W2564" s="7"/>
      <c r="X2564" s="7"/>
      <c r="Y2564" s="7"/>
      <c r="Z2564" s="7"/>
      <c r="AA2564" s="7"/>
      <c r="AB2564" s="7"/>
      <c r="AC2564" s="7"/>
      <c r="AD2564" s="7"/>
      <c r="AE2564" s="7"/>
    </row>
    <row r="2565">
      <c r="A2565" s="7"/>
      <c r="B2565" s="21"/>
      <c r="C2565" s="21"/>
      <c r="D2565" s="21"/>
      <c r="E2565" s="21"/>
      <c r="F2565" s="21"/>
      <c r="G2565" s="21"/>
      <c r="H2565" s="21"/>
      <c r="I2565" s="21"/>
      <c r="J2565" s="21"/>
      <c r="K2565" s="21"/>
      <c r="L2565" s="21"/>
      <c r="M2565" s="7"/>
      <c r="N2565" s="7"/>
      <c r="O2565" s="7"/>
      <c r="P2565" s="7"/>
      <c r="Q2565" s="7"/>
      <c r="R2565" s="7"/>
      <c r="S2565" s="7"/>
      <c r="T2565" s="7"/>
      <c r="U2565" s="7"/>
      <c r="V2565" s="7"/>
      <c r="W2565" s="7"/>
      <c r="X2565" s="7"/>
      <c r="Y2565" s="7"/>
      <c r="Z2565" s="7"/>
      <c r="AA2565" s="7"/>
      <c r="AB2565" s="7"/>
      <c r="AC2565" s="7"/>
      <c r="AD2565" s="7"/>
      <c r="AE2565" s="7"/>
    </row>
    <row r="2566">
      <c r="A2566" s="7"/>
      <c r="B2566" s="21"/>
      <c r="C2566" s="21"/>
      <c r="D2566" s="21"/>
      <c r="E2566" s="21"/>
      <c r="F2566" s="21"/>
      <c r="G2566" s="21"/>
      <c r="H2566" s="21"/>
      <c r="I2566" s="21"/>
      <c r="J2566" s="21"/>
      <c r="K2566" s="21"/>
      <c r="L2566" s="21"/>
      <c r="M2566" s="7"/>
      <c r="N2566" s="7"/>
      <c r="O2566" s="7"/>
      <c r="P2566" s="7"/>
      <c r="Q2566" s="7"/>
      <c r="R2566" s="7"/>
      <c r="S2566" s="7"/>
      <c r="T2566" s="7"/>
      <c r="U2566" s="7"/>
      <c r="V2566" s="7"/>
      <c r="W2566" s="7"/>
      <c r="X2566" s="7"/>
      <c r="Y2566" s="7"/>
      <c r="Z2566" s="7"/>
      <c r="AA2566" s="7"/>
      <c r="AB2566" s="7"/>
      <c r="AC2566" s="7"/>
      <c r="AD2566" s="7"/>
      <c r="AE2566" s="7"/>
    </row>
    <row r="2567">
      <c r="A2567" s="7"/>
      <c r="B2567" s="21"/>
      <c r="C2567" s="21"/>
      <c r="D2567" s="21"/>
      <c r="E2567" s="21"/>
      <c r="F2567" s="21"/>
      <c r="G2567" s="21"/>
      <c r="H2567" s="21"/>
      <c r="I2567" s="21"/>
      <c r="J2567" s="21"/>
      <c r="K2567" s="21"/>
      <c r="L2567" s="21"/>
      <c r="M2567" s="7"/>
      <c r="N2567" s="7"/>
      <c r="O2567" s="7"/>
      <c r="P2567" s="7"/>
      <c r="Q2567" s="7"/>
      <c r="R2567" s="7"/>
      <c r="S2567" s="7"/>
      <c r="T2567" s="7"/>
      <c r="U2567" s="7"/>
      <c r="V2567" s="7"/>
      <c r="W2567" s="7"/>
      <c r="X2567" s="7"/>
      <c r="Y2567" s="7"/>
      <c r="Z2567" s="7"/>
      <c r="AA2567" s="7"/>
      <c r="AB2567" s="7"/>
      <c r="AC2567" s="7"/>
      <c r="AD2567" s="7"/>
      <c r="AE2567" s="7"/>
    </row>
    <row r="2568">
      <c r="A2568" s="7"/>
      <c r="B2568" s="21"/>
      <c r="C2568" s="21"/>
      <c r="D2568" s="21"/>
      <c r="E2568" s="21"/>
      <c r="F2568" s="21"/>
      <c r="G2568" s="21"/>
      <c r="H2568" s="21"/>
      <c r="I2568" s="21"/>
      <c r="J2568" s="21"/>
      <c r="K2568" s="21"/>
      <c r="L2568" s="21"/>
      <c r="M2568" s="7"/>
      <c r="N2568" s="7"/>
      <c r="O2568" s="7"/>
      <c r="P2568" s="7"/>
      <c r="Q2568" s="7"/>
      <c r="R2568" s="7"/>
      <c r="S2568" s="7"/>
      <c r="T2568" s="7"/>
      <c r="U2568" s="7"/>
      <c r="V2568" s="7"/>
      <c r="W2568" s="7"/>
      <c r="X2568" s="7"/>
      <c r="Y2568" s="7"/>
      <c r="Z2568" s="7"/>
      <c r="AA2568" s="7"/>
      <c r="AB2568" s="7"/>
      <c r="AC2568" s="7"/>
      <c r="AD2568" s="7"/>
      <c r="AE2568" s="7"/>
    </row>
    <row r="2569">
      <c r="A2569" s="7"/>
      <c r="B2569" s="21"/>
      <c r="C2569" s="21"/>
      <c r="D2569" s="21"/>
      <c r="E2569" s="21"/>
      <c r="F2569" s="21"/>
      <c r="G2569" s="21"/>
      <c r="H2569" s="21"/>
      <c r="I2569" s="21"/>
      <c r="J2569" s="21"/>
      <c r="K2569" s="21"/>
      <c r="L2569" s="21"/>
      <c r="M2569" s="7"/>
      <c r="N2569" s="7"/>
      <c r="O2569" s="7"/>
      <c r="P2569" s="7"/>
      <c r="Q2569" s="7"/>
      <c r="R2569" s="7"/>
      <c r="S2569" s="7"/>
      <c r="T2569" s="7"/>
      <c r="U2569" s="7"/>
      <c r="V2569" s="7"/>
      <c r="W2569" s="7"/>
      <c r="X2569" s="7"/>
      <c r="Y2569" s="7"/>
      <c r="Z2569" s="7"/>
      <c r="AA2569" s="7"/>
      <c r="AB2569" s="7"/>
      <c r="AC2569" s="7"/>
      <c r="AD2569" s="7"/>
      <c r="AE2569" s="7"/>
    </row>
    <row r="2570">
      <c r="A2570" s="7"/>
      <c r="B2570" s="21"/>
      <c r="C2570" s="21"/>
      <c r="D2570" s="21"/>
      <c r="E2570" s="21"/>
      <c r="F2570" s="21"/>
      <c r="G2570" s="21"/>
      <c r="H2570" s="21"/>
      <c r="I2570" s="21"/>
      <c r="J2570" s="21"/>
      <c r="K2570" s="21"/>
      <c r="L2570" s="21"/>
      <c r="M2570" s="7"/>
      <c r="N2570" s="7"/>
      <c r="O2570" s="7"/>
      <c r="P2570" s="7"/>
      <c r="Q2570" s="7"/>
      <c r="R2570" s="7"/>
      <c r="S2570" s="7"/>
      <c r="T2570" s="7"/>
      <c r="U2570" s="7"/>
      <c r="V2570" s="7"/>
      <c r="W2570" s="7"/>
      <c r="X2570" s="7"/>
      <c r="Y2570" s="7"/>
      <c r="Z2570" s="7"/>
      <c r="AA2570" s="7"/>
      <c r="AB2570" s="7"/>
      <c r="AC2570" s="7"/>
      <c r="AD2570" s="7"/>
      <c r="AE2570" s="7"/>
    </row>
    <row r="2571">
      <c r="A2571" s="7"/>
      <c r="B2571" s="21"/>
      <c r="C2571" s="21"/>
      <c r="D2571" s="21"/>
      <c r="E2571" s="21"/>
      <c r="F2571" s="21"/>
      <c r="G2571" s="21"/>
      <c r="H2571" s="21"/>
      <c r="I2571" s="21"/>
      <c r="J2571" s="21"/>
      <c r="K2571" s="21"/>
      <c r="L2571" s="21"/>
      <c r="M2571" s="7"/>
      <c r="N2571" s="7"/>
      <c r="O2571" s="7"/>
      <c r="P2571" s="7"/>
      <c r="Q2571" s="7"/>
      <c r="R2571" s="7"/>
      <c r="S2571" s="7"/>
      <c r="T2571" s="7"/>
      <c r="U2571" s="7"/>
      <c r="V2571" s="7"/>
      <c r="W2571" s="7"/>
      <c r="X2571" s="7"/>
      <c r="Y2571" s="7"/>
      <c r="Z2571" s="7"/>
      <c r="AA2571" s="7"/>
      <c r="AB2571" s="7"/>
      <c r="AC2571" s="7"/>
      <c r="AD2571" s="7"/>
      <c r="AE2571" s="7"/>
    </row>
    <row r="2572">
      <c r="A2572" s="7"/>
      <c r="B2572" s="21"/>
      <c r="C2572" s="21"/>
      <c r="D2572" s="21"/>
      <c r="E2572" s="21"/>
      <c r="F2572" s="21"/>
      <c r="G2572" s="21"/>
      <c r="H2572" s="21"/>
      <c r="I2572" s="21"/>
      <c r="J2572" s="21"/>
      <c r="K2572" s="21"/>
      <c r="L2572" s="21"/>
      <c r="M2572" s="7"/>
      <c r="N2572" s="7"/>
      <c r="O2572" s="7"/>
      <c r="P2572" s="7"/>
      <c r="Q2572" s="7"/>
      <c r="R2572" s="7"/>
      <c r="S2572" s="7"/>
      <c r="T2572" s="7"/>
      <c r="U2572" s="7"/>
      <c r="V2572" s="7"/>
      <c r="W2572" s="7"/>
      <c r="X2572" s="7"/>
      <c r="Y2572" s="7"/>
      <c r="Z2572" s="7"/>
      <c r="AA2572" s="7"/>
      <c r="AB2572" s="7"/>
      <c r="AC2572" s="7"/>
      <c r="AD2572" s="7"/>
      <c r="AE2572" s="7"/>
    </row>
    <row r="2573">
      <c r="A2573" s="7"/>
      <c r="B2573" s="21"/>
      <c r="C2573" s="21"/>
      <c r="D2573" s="21"/>
      <c r="E2573" s="21"/>
      <c r="F2573" s="21"/>
      <c r="G2573" s="21"/>
      <c r="H2573" s="21"/>
      <c r="I2573" s="21"/>
      <c r="J2573" s="21"/>
      <c r="K2573" s="21"/>
      <c r="L2573" s="21"/>
      <c r="M2573" s="7"/>
      <c r="N2573" s="7"/>
      <c r="O2573" s="7"/>
      <c r="P2573" s="7"/>
      <c r="Q2573" s="7"/>
      <c r="R2573" s="7"/>
      <c r="S2573" s="7"/>
      <c r="T2573" s="7"/>
      <c r="U2573" s="7"/>
      <c r="V2573" s="7"/>
      <c r="W2573" s="7"/>
      <c r="X2573" s="7"/>
      <c r="Y2573" s="7"/>
      <c r="Z2573" s="7"/>
      <c r="AA2573" s="7"/>
      <c r="AB2573" s="7"/>
      <c r="AC2573" s="7"/>
      <c r="AD2573" s="7"/>
      <c r="AE2573" s="7"/>
    </row>
    <row r="2574">
      <c r="A2574" s="7"/>
      <c r="B2574" s="21"/>
      <c r="C2574" s="21"/>
      <c r="D2574" s="21"/>
      <c r="E2574" s="21"/>
      <c r="F2574" s="21"/>
      <c r="G2574" s="21"/>
      <c r="H2574" s="21"/>
      <c r="I2574" s="21"/>
      <c r="J2574" s="21"/>
      <c r="K2574" s="21"/>
      <c r="L2574" s="21"/>
      <c r="M2574" s="7"/>
      <c r="N2574" s="7"/>
      <c r="O2574" s="7"/>
      <c r="P2574" s="7"/>
      <c r="Q2574" s="7"/>
      <c r="R2574" s="7"/>
      <c r="S2574" s="7"/>
      <c r="T2574" s="7"/>
      <c r="U2574" s="7"/>
      <c r="V2574" s="7"/>
      <c r="W2574" s="7"/>
      <c r="X2574" s="7"/>
      <c r="Y2574" s="7"/>
      <c r="Z2574" s="7"/>
      <c r="AA2574" s="7"/>
      <c r="AB2574" s="7"/>
      <c r="AC2574" s="7"/>
      <c r="AD2574" s="7"/>
      <c r="AE2574" s="7"/>
    </row>
    <row r="2575">
      <c r="A2575" s="7"/>
      <c r="B2575" s="21"/>
      <c r="C2575" s="21"/>
      <c r="D2575" s="21"/>
      <c r="E2575" s="21"/>
      <c r="F2575" s="21"/>
      <c r="G2575" s="21"/>
      <c r="H2575" s="21"/>
      <c r="I2575" s="21"/>
      <c r="J2575" s="21"/>
      <c r="K2575" s="21"/>
      <c r="L2575" s="21"/>
      <c r="M2575" s="7"/>
      <c r="N2575" s="7"/>
      <c r="O2575" s="7"/>
      <c r="P2575" s="7"/>
      <c r="Q2575" s="7"/>
      <c r="R2575" s="7"/>
      <c r="S2575" s="7"/>
      <c r="T2575" s="7"/>
      <c r="U2575" s="7"/>
      <c r="V2575" s="7"/>
      <c r="W2575" s="7"/>
      <c r="X2575" s="7"/>
      <c r="Y2575" s="7"/>
      <c r="Z2575" s="7"/>
      <c r="AA2575" s="7"/>
      <c r="AB2575" s="7"/>
      <c r="AC2575" s="7"/>
      <c r="AD2575" s="7"/>
      <c r="AE2575" s="7"/>
    </row>
    <row r="2576">
      <c r="A2576" s="7"/>
      <c r="B2576" s="21"/>
      <c r="C2576" s="21"/>
      <c r="D2576" s="21"/>
      <c r="E2576" s="21"/>
      <c r="F2576" s="21"/>
      <c r="G2576" s="21"/>
      <c r="H2576" s="21"/>
      <c r="I2576" s="21"/>
      <c r="J2576" s="21"/>
      <c r="K2576" s="21"/>
      <c r="L2576" s="21"/>
      <c r="M2576" s="7"/>
      <c r="N2576" s="7"/>
      <c r="O2576" s="7"/>
      <c r="P2576" s="7"/>
      <c r="Q2576" s="7"/>
      <c r="R2576" s="7"/>
      <c r="S2576" s="7"/>
      <c r="T2576" s="7"/>
      <c r="U2576" s="7"/>
      <c r="V2576" s="7"/>
      <c r="W2576" s="7"/>
      <c r="X2576" s="7"/>
      <c r="Y2576" s="7"/>
      <c r="Z2576" s="7"/>
      <c r="AA2576" s="7"/>
      <c r="AB2576" s="7"/>
      <c r="AC2576" s="7"/>
      <c r="AD2576" s="7"/>
      <c r="AE2576" s="7"/>
    </row>
    <row r="2577">
      <c r="A2577" s="7"/>
      <c r="B2577" s="21"/>
      <c r="C2577" s="21"/>
      <c r="D2577" s="21"/>
      <c r="E2577" s="21"/>
      <c r="F2577" s="21"/>
      <c r="G2577" s="21"/>
      <c r="H2577" s="21"/>
      <c r="I2577" s="21"/>
      <c r="J2577" s="21"/>
      <c r="K2577" s="21"/>
      <c r="L2577" s="21"/>
      <c r="M2577" s="7"/>
      <c r="N2577" s="7"/>
      <c r="O2577" s="7"/>
      <c r="P2577" s="7"/>
      <c r="Q2577" s="7"/>
      <c r="R2577" s="7"/>
      <c r="S2577" s="7"/>
      <c r="T2577" s="7"/>
      <c r="U2577" s="7"/>
      <c r="V2577" s="7"/>
      <c r="W2577" s="7"/>
      <c r="X2577" s="7"/>
      <c r="Y2577" s="7"/>
      <c r="Z2577" s="7"/>
      <c r="AA2577" s="7"/>
      <c r="AB2577" s="7"/>
      <c r="AC2577" s="7"/>
      <c r="AD2577" s="7"/>
      <c r="AE2577" s="7"/>
    </row>
    <row r="2578">
      <c r="A2578" s="7"/>
      <c r="B2578" s="21"/>
      <c r="C2578" s="21"/>
      <c r="D2578" s="21"/>
      <c r="E2578" s="21"/>
      <c r="F2578" s="21"/>
      <c r="G2578" s="21"/>
      <c r="H2578" s="21"/>
      <c r="I2578" s="21"/>
      <c r="J2578" s="21"/>
      <c r="K2578" s="21"/>
      <c r="L2578" s="21"/>
      <c r="M2578" s="7"/>
      <c r="N2578" s="7"/>
      <c r="O2578" s="7"/>
      <c r="P2578" s="7"/>
      <c r="Q2578" s="7"/>
      <c r="R2578" s="7"/>
      <c r="S2578" s="7"/>
      <c r="T2578" s="7"/>
      <c r="U2578" s="7"/>
      <c r="V2578" s="7"/>
      <c r="W2578" s="7"/>
      <c r="X2578" s="7"/>
      <c r="Y2578" s="7"/>
      <c r="Z2578" s="7"/>
      <c r="AA2578" s="7"/>
      <c r="AB2578" s="7"/>
      <c r="AC2578" s="7"/>
      <c r="AD2578" s="7"/>
      <c r="AE2578" s="7"/>
    </row>
    <row r="2579">
      <c r="A2579" s="7"/>
      <c r="B2579" s="21"/>
      <c r="C2579" s="21"/>
      <c r="D2579" s="21"/>
      <c r="E2579" s="21"/>
      <c r="F2579" s="21"/>
      <c r="G2579" s="21"/>
      <c r="H2579" s="21"/>
      <c r="I2579" s="21"/>
      <c r="J2579" s="21"/>
      <c r="K2579" s="21"/>
      <c r="L2579" s="21"/>
      <c r="M2579" s="7"/>
      <c r="N2579" s="7"/>
      <c r="O2579" s="7"/>
      <c r="P2579" s="7"/>
      <c r="Q2579" s="7"/>
      <c r="R2579" s="7"/>
      <c r="S2579" s="7"/>
      <c r="T2579" s="7"/>
      <c r="U2579" s="7"/>
      <c r="V2579" s="7"/>
      <c r="W2579" s="7"/>
      <c r="X2579" s="7"/>
      <c r="Y2579" s="7"/>
      <c r="Z2579" s="7"/>
      <c r="AA2579" s="7"/>
      <c r="AB2579" s="7"/>
      <c r="AC2579" s="7"/>
      <c r="AD2579" s="7"/>
      <c r="AE2579" s="7"/>
    </row>
    <row r="2580">
      <c r="A2580" s="7"/>
      <c r="B2580" s="21"/>
      <c r="C2580" s="21"/>
      <c r="D2580" s="21"/>
      <c r="E2580" s="21"/>
      <c r="F2580" s="21"/>
      <c r="G2580" s="21"/>
      <c r="H2580" s="21"/>
      <c r="I2580" s="21"/>
      <c r="J2580" s="21"/>
      <c r="K2580" s="21"/>
      <c r="L2580" s="21"/>
      <c r="M2580" s="7"/>
      <c r="N2580" s="7"/>
      <c r="O2580" s="7"/>
      <c r="P2580" s="7"/>
      <c r="Q2580" s="7"/>
      <c r="R2580" s="7"/>
      <c r="S2580" s="7"/>
      <c r="T2580" s="7"/>
      <c r="U2580" s="7"/>
      <c r="V2580" s="7"/>
      <c r="W2580" s="7"/>
      <c r="X2580" s="7"/>
      <c r="Y2580" s="7"/>
      <c r="Z2580" s="7"/>
      <c r="AA2580" s="7"/>
      <c r="AB2580" s="7"/>
      <c r="AC2580" s="7"/>
      <c r="AD2580" s="7"/>
      <c r="AE2580" s="7"/>
    </row>
    <row r="2581">
      <c r="A2581" s="7"/>
      <c r="B2581" s="21"/>
      <c r="C2581" s="21"/>
      <c r="D2581" s="21"/>
      <c r="E2581" s="21"/>
      <c r="F2581" s="21"/>
      <c r="G2581" s="21"/>
      <c r="H2581" s="21"/>
      <c r="I2581" s="21"/>
      <c r="J2581" s="21"/>
      <c r="K2581" s="21"/>
      <c r="L2581" s="21"/>
      <c r="M2581" s="7"/>
      <c r="N2581" s="7"/>
      <c r="O2581" s="7"/>
      <c r="P2581" s="7"/>
      <c r="Q2581" s="7"/>
      <c r="R2581" s="7"/>
      <c r="S2581" s="7"/>
      <c r="T2581" s="7"/>
      <c r="U2581" s="7"/>
      <c r="V2581" s="7"/>
      <c r="W2581" s="7"/>
      <c r="X2581" s="7"/>
      <c r="Y2581" s="7"/>
      <c r="Z2581" s="7"/>
      <c r="AA2581" s="7"/>
      <c r="AB2581" s="7"/>
      <c r="AC2581" s="7"/>
      <c r="AD2581" s="7"/>
      <c r="AE2581" s="7"/>
    </row>
    <row r="2582">
      <c r="A2582" s="7"/>
      <c r="B2582" s="21"/>
      <c r="C2582" s="21"/>
      <c r="D2582" s="21"/>
      <c r="E2582" s="21"/>
      <c r="F2582" s="21"/>
      <c r="G2582" s="21"/>
      <c r="H2582" s="21"/>
      <c r="I2582" s="21"/>
      <c r="J2582" s="21"/>
      <c r="K2582" s="21"/>
      <c r="L2582" s="21"/>
      <c r="M2582" s="7"/>
      <c r="N2582" s="7"/>
      <c r="O2582" s="7"/>
      <c r="P2582" s="7"/>
      <c r="Q2582" s="7"/>
      <c r="R2582" s="7"/>
      <c r="S2582" s="7"/>
      <c r="T2582" s="7"/>
      <c r="U2582" s="7"/>
      <c r="V2582" s="7"/>
      <c r="W2582" s="7"/>
      <c r="X2582" s="7"/>
      <c r="Y2582" s="7"/>
      <c r="Z2582" s="7"/>
      <c r="AA2582" s="7"/>
      <c r="AB2582" s="7"/>
      <c r="AC2582" s="7"/>
      <c r="AD2582" s="7"/>
      <c r="AE2582" s="7"/>
    </row>
    <row r="2583">
      <c r="A2583" s="7"/>
      <c r="B2583" s="21"/>
      <c r="C2583" s="21"/>
      <c r="D2583" s="21"/>
      <c r="E2583" s="21"/>
      <c r="F2583" s="21"/>
      <c r="G2583" s="21"/>
      <c r="H2583" s="21"/>
      <c r="I2583" s="21"/>
      <c r="J2583" s="21"/>
      <c r="K2583" s="21"/>
      <c r="L2583" s="21"/>
      <c r="M2583" s="7"/>
      <c r="N2583" s="7"/>
      <c r="O2583" s="7"/>
      <c r="P2583" s="7"/>
      <c r="Q2583" s="7"/>
      <c r="R2583" s="7"/>
      <c r="S2583" s="7"/>
      <c r="T2583" s="7"/>
      <c r="U2583" s="7"/>
      <c r="V2583" s="7"/>
      <c r="W2583" s="7"/>
      <c r="X2583" s="7"/>
      <c r="Y2583" s="7"/>
      <c r="Z2583" s="7"/>
      <c r="AA2583" s="7"/>
      <c r="AB2583" s="7"/>
      <c r="AC2583" s="7"/>
      <c r="AD2583" s="7"/>
      <c r="AE2583" s="7"/>
    </row>
    <row r="2584">
      <c r="A2584" s="7"/>
      <c r="B2584" s="21"/>
      <c r="C2584" s="21"/>
      <c r="D2584" s="21"/>
      <c r="E2584" s="21"/>
      <c r="F2584" s="21"/>
      <c r="G2584" s="21"/>
      <c r="H2584" s="21"/>
      <c r="I2584" s="21"/>
      <c r="J2584" s="21"/>
      <c r="K2584" s="21"/>
      <c r="L2584" s="21"/>
      <c r="M2584" s="7"/>
      <c r="N2584" s="7"/>
      <c r="O2584" s="7"/>
      <c r="P2584" s="7"/>
      <c r="Q2584" s="7"/>
      <c r="R2584" s="7"/>
      <c r="S2584" s="7"/>
      <c r="T2584" s="7"/>
      <c r="U2584" s="7"/>
      <c r="V2584" s="7"/>
      <c r="W2584" s="7"/>
      <c r="X2584" s="7"/>
      <c r="Y2584" s="7"/>
      <c r="Z2584" s="7"/>
      <c r="AA2584" s="7"/>
      <c r="AB2584" s="7"/>
      <c r="AC2584" s="7"/>
      <c r="AD2584" s="7"/>
      <c r="AE2584" s="7"/>
    </row>
    <row r="2585">
      <c r="A2585" s="7"/>
      <c r="B2585" s="21"/>
      <c r="C2585" s="21"/>
      <c r="D2585" s="21"/>
      <c r="E2585" s="21"/>
      <c r="F2585" s="21"/>
      <c r="G2585" s="21"/>
      <c r="H2585" s="21"/>
      <c r="I2585" s="21"/>
      <c r="J2585" s="21"/>
      <c r="K2585" s="21"/>
      <c r="L2585" s="21"/>
      <c r="M2585" s="7"/>
      <c r="N2585" s="7"/>
      <c r="O2585" s="7"/>
      <c r="P2585" s="7"/>
      <c r="Q2585" s="7"/>
      <c r="R2585" s="7"/>
      <c r="S2585" s="7"/>
      <c r="T2585" s="7"/>
      <c r="U2585" s="7"/>
      <c r="V2585" s="7"/>
      <c r="W2585" s="7"/>
      <c r="X2585" s="7"/>
      <c r="Y2585" s="7"/>
      <c r="Z2585" s="7"/>
      <c r="AA2585" s="7"/>
      <c r="AB2585" s="7"/>
      <c r="AC2585" s="7"/>
      <c r="AD2585" s="7"/>
      <c r="AE2585" s="7"/>
    </row>
    <row r="2586">
      <c r="A2586" s="7"/>
      <c r="B2586" s="21"/>
      <c r="C2586" s="21"/>
      <c r="D2586" s="21"/>
      <c r="E2586" s="21"/>
      <c r="F2586" s="21"/>
      <c r="G2586" s="21"/>
      <c r="H2586" s="21"/>
      <c r="I2586" s="21"/>
      <c r="J2586" s="21"/>
      <c r="K2586" s="21"/>
      <c r="L2586" s="21"/>
      <c r="M2586" s="7"/>
      <c r="N2586" s="7"/>
      <c r="O2586" s="7"/>
      <c r="P2586" s="7"/>
      <c r="Q2586" s="7"/>
      <c r="R2586" s="7"/>
      <c r="S2586" s="7"/>
      <c r="T2586" s="7"/>
      <c r="U2586" s="7"/>
      <c r="V2586" s="7"/>
      <c r="W2586" s="7"/>
      <c r="X2586" s="7"/>
      <c r="Y2586" s="7"/>
      <c r="Z2586" s="7"/>
      <c r="AA2586" s="7"/>
      <c r="AB2586" s="7"/>
      <c r="AC2586" s="7"/>
      <c r="AD2586" s="7"/>
      <c r="AE2586" s="7"/>
    </row>
    <row r="2587">
      <c r="A2587" s="7"/>
      <c r="B2587" s="21"/>
      <c r="C2587" s="21"/>
      <c r="D2587" s="21"/>
      <c r="E2587" s="21"/>
      <c r="F2587" s="21"/>
      <c r="G2587" s="21"/>
      <c r="H2587" s="21"/>
      <c r="I2587" s="21"/>
      <c r="J2587" s="21"/>
      <c r="K2587" s="21"/>
      <c r="L2587" s="21"/>
      <c r="M2587" s="7"/>
      <c r="N2587" s="7"/>
      <c r="O2587" s="7"/>
      <c r="P2587" s="7"/>
      <c r="Q2587" s="7"/>
      <c r="R2587" s="7"/>
      <c r="S2587" s="7"/>
      <c r="T2587" s="7"/>
      <c r="U2587" s="7"/>
      <c r="V2587" s="7"/>
      <c r="W2587" s="7"/>
      <c r="X2587" s="7"/>
      <c r="Y2587" s="7"/>
      <c r="Z2587" s="7"/>
      <c r="AA2587" s="7"/>
      <c r="AB2587" s="7"/>
      <c r="AC2587" s="7"/>
      <c r="AD2587" s="7"/>
      <c r="AE2587" s="7"/>
    </row>
    <row r="2588">
      <c r="A2588" s="7"/>
      <c r="B2588" s="21"/>
      <c r="C2588" s="21"/>
      <c r="D2588" s="21"/>
      <c r="E2588" s="21"/>
      <c r="F2588" s="21"/>
      <c r="G2588" s="21"/>
      <c r="H2588" s="21"/>
      <c r="I2588" s="21"/>
      <c r="J2588" s="21"/>
      <c r="K2588" s="21"/>
      <c r="L2588" s="21"/>
      <c r="M2588" s="7"/>
      <c r="N2588" s="7"/>
      <c r="O2588" s="7"/>
      <c r="P2588" s="7"/>
      <c r="Q2588" s="7"/>
      <c r="R2588" s="7"/>
      <c r="S2588" s="7"/>
      <c r="T2588" s="7"/>
      <c r="U2588" s="7"/>
      <c r="V2588" s="7"/>
      <c r="W2588" s="7"/>
      <c r="X2588" s="7"/>
      <c r="Y2588" s="7"/>
      <c r="Z2588" s="7"/>
      <c r="AA2588" s="7"/>
      <c r="AB2588" s="7"/>
      <c r="AC2588" s="7"/>
      <c r="AD2588" s="7"/>
      <c r="AE2588" s="7"/>
    </row>
    <row r="2589">
      <c r="A2589" s="7"/>
      <c r="B2589" s="21"/>
      <c r="C2589" s="21"/>
      <c r="D2589" s="21"/>
      <c r="E2589" s="21"/>
      <c r="F2589" s="21"/>
      <c r="G2589" s="21"/>
      <c r="H2589" s="21"/>
      <c r="I2589" s="21"/>
      <c r="J2589" s="21"/>
      <c r="K2589" s="21"/>
      <c r="L2589" s="21"/>
      <c r="M2589" s="7"/>
      <c r="N2589" s="7"/>
      <c r="O2589" s="7"/>
      <c r="P2589" s="7"/>
      <c r="Q2589" s="7"/>
      <c r="R2589" s="7"/>
      <c r="S2589" s="7"/>
      <c r="T2589" s="7"/>
      <c r="U2589" s="7"/>
      <c r="V2589" s="7"/>
      <c r="W2589" s="7"/>
      <c r="X2589" s="7"/>
      <c r="Y2589" s="7"/>
      <c r="Z2589" s="7"/>
      <c r="AA2589" s="7"/>
      <c r="AB2589" s="7"/>
      <c r="AC2589" s="7"/>
      <c r="AD2589" s="7"/>
      <c r="AE2589" s="7"/>
    </row>
    <row r="2590">
      <c r="A2590" s="7"/>
      <c r="B2590" s="21"/>
      <c r="C2590" s="21"/>
      <c r="D2590" s="21"/>
      <c r="E2590" s="21"/>
      <c r="F2590" s="21"/>
      <c r="G2590" s="21"/>
      <c r="H2590" s="21"/>
      <c r="I2590" s="21"/>
      <c r="J2590" s="21"/>
      <c r="K2590" s="21"/>
      <c r="L2590" s="21"/>
      <c r="M2590" s="7"/>
      <c r="N2590" s="7"/>
      <c r="O2590" s="7"/>
      <c r="P2590" s="7"/>
      <c r="Q2590" s="7"/>
      <c r="R2590" s="7"/>
      <c r="S2590" s="7"/>
      <c r="T2590" s="7"/>
      <c r="U2590" s="7"/>
      <c r="V2590" s="7"/>
      <c r="W2590" s="7"/>
      <c r="X2590" s="7"/>
      <c r="Y2590" s="7"/>
      <c r="Z2590" s="7"/>
      <c r="AA2590" s="7"/>
      <c r="AB2590" s="7"/>
      <c r="AC2590" s="7"/>
      <c r="AD2590" s="7"/>
      <c r="AE2590" s="7"/>
    </row>
    <row r="2591">
      <c r="A2591" s="7"/>
      <c r="B2591" s="21"/>
      <c r="C2591" s="21"/>
      <c r="D2591" s="21"/>
      <c r="E2591" s="21"/>
      <c r="F2591" s="21"/>
      <c r="G2591" s="21"/>
      <c r="H2591" s="21"/>
      <c r="I2591" s="21"/>
      <c r="J2591" s="21"/>
      <c r="K2591" s="21"/>
      <c r="L2591" s="21"/>
      <c r="M2591" s="7"/>
      <c r="N2591" s="7"/>
      <c r="O2591" s="7"/>
      <c r="P2591" s="7"/>
      <c r="Q2591" s="7"/>
      <c r="R2591" s="7"/>
      <c r="S2591" s="7"/>
      <c r="T2591" s="7"/>
      <c r="U2591" s="7"/>
      <c r="V2591" s="7"/>
      <c r="W2591" s="7"/>
      <c r="X2591" s="7"/>
      <c r="Y2591" s="7"/>
      <c r="Z2591" s="7"/>
      <c r="AA2591" s="7"/>
      <c r="AB2591" s="7"/>
      <c r="AC2591" s="7"/>
      <c r="AD2591" s="7"/>
      <c r="AE2591" s="7"/>
    </row>
    <row r="2592">
      <c r="A2592" s="7"/>
      <c r="B2592" s="21"/>
      <c r="C2592" s="21"/>
      <c r="D2592" s="21"/>
      <c r="E2592" s="21"/>
      <c r="F2592" s="21"/>
      <c r="G2592" s="21"/>
      <c r="H2592" s="21"/>
      <c r="I2592" s="21"/>
      <c r="J2592" s="21"/>
      <c r="K2592" s="21"/>
      <c r="L2592" s="21"/>
      <c r="M2592" s="7"/>
      <c r="N2592" s="7"/>
      <c r="O2592" s="7"/>
      <c r="P2592" s="7"/>
      <c r="Q2592" s="7"/>
      <c r="R2592" s="7"/>
      <c r="S2592" s="7"/>
      <c r="T2592" s="7"/>
      <c r="U2592" s="7"/>
      <c r="V2592" s="7"/>
      <c r="W2592" s="7"/>
      <c r="X2592" s="7"/>
      <c r="Y2592" s="7"/>
      <c r="Z2592" s="7"/>
      <c r="AA2592" s="7"/>
      <c r="AB2592" s="7"/>
      <c r="AC2592" s="7"/>
      <c r="AD2592" s="7"/>
      <c r="AE2592" s="7"/>
    </row>
    <row r="2593">
      <c r="A2593" s="7"/>
      <c r="B2593" s="21"/>
      <c r="C2593" s="21"/>
      <c r="D2593" s="21"/>
      <c r="E2593" s="21"/>
      <c r="F2593" s="21"/>
      <c r="G2593" s="21"/>
      <c r="H2593" s="21"/>
      <c r="I2593" s="21"/>
      <c r="J2593" s="21"/>
      <c r="K2593" s="21"/>
      <c r="L2593" s="21"/>
      <c r="M2593" s="7"/>
      <c r="N2593" s="7"/>
      <c r="O2593" s="7"/>
      <c r="P2593" s="7"/>
      <c r="Q2593" s="7"/>
      <c r="R2593" s="7"/>
      <c r="S2593" s="7"/>
      <c r="T2593" s="7"/>
      <c r="U2593" s="7"/>
      <c r="V2593" s="7"/>
      <c r="W2593" s="7"/>
      <c r="X2593" s="7"/>
      <c r="Y2593" s="7"/>
      <c r="Z2593" s="7"/>
      <c r="AA2593" s="7"/>
      <c r="AB2593" s="7"/>
      <c r="AC2593" s="7"/>
      <c r="AD2593" s="7"/>
      <c r="AE2593" s="7"/>
    </row>
    <row r="2594">
      <c r="A2594" s="7"/>
      <c r="B2594" s="21"/>
      <c r="C2594" s="21"/>
      <c r="D2594" s="21"/>
      <c r="E2594" s="21"/>
      <c r="F2594" s="21"/>
      <c r="G2594" s="21"/>
      <c r="H2594" s="21"/>
      <c r="I2594" s="21"/>
      <c r="J2594" s="21"/>
      <c r="K2594" s="21"/>
      <c r="L2594" s="21"/>
      <c r="M2594" s="7"/>
      <c r="N2594" s="7"/>
      <c r="O2594" s="7"/>
      <c r="P2594" s="7"/>
      <c r="Q2594" s="7"/>
      <c r="R2594" s="7"/>
      <c r="S2594" s="7"/>
      <c r="T2594" s="7"/>
      <c r="U2594" s="7"/>
      <c r="V2594" s="7"/>
      <c r="W2594" s="7"/>
      <c r="X2594" s="7"/>
      <c r="Y2594" s="7"/>
      <c r="Z2594" s="7"/>
      <c r="AA2594" s="7"/>
      <c r="AB2594" s="7"/>
      <c r="AC2594" s="7"/>
      <c r="AD2594" s="7"/>
      <c r="AE2594" s="7"/>
    </row>
    <row r="2595">
      <c r="A2595" s="7"/>
      <c r="B2595" s="21"/>
      <c r="C2595" s="21"/>
      <c r="D2595" s="21"/>
      <c r="E2595" s="21"/>
      <c r="F2595" s="21"/>
      <c r="G2595" s="21"/>
      <c r="H2595" s="21"/>
      <c r="I2595" s="21"/>
      <c r="J2595" s="21"/>
      <c r="K2595" s="21"/>
      <c r="L2595" s="21"/>
      <c r="M2595" s="7"/>
      <c r="N2595" s="7"/>
      <c r="O2595" s="7"/>
      <c r="P2595" s="7"/>
      <c r="Q2595" s="7"/>
      <c r="R2595" s="7"/>
      <c r="S2595" s="7"/>
      <c r="T2595" s="7"/>
      <c r="U2595" s="7"/>
      <c r="V2595" s="7"/>
      <c r="W2595" s="7"/>
      <c r="X2595" s="7"/>
      <c r="Y2595" s="7"/>
      <c r="Z2595" s="7"/>
      <c r="AA2595" s="7"/>
      <c r="AB2595" s="7"/>
      <c r="AC2595" s="7"/>
      <c r="AD2595" s="7"/>
      <c r="AE2595" s="7"/>
    </row>
    <row r="2596">
      <c r="A2596" s="7"/>
      <c r="B2596" s="21"/>
      <c r="C2596" s="21"/>
      <c r="D2596" s="21"/>
      <c r="E2596" s="21"/>
      <c r="F2596" s="21"/>
      <c r="G2596" s="21"/>
      <c r="H2596" s="21"/>
      <c r="I2596" s="21"/>
      <c r="J2596" s="21"/>
      <c r="K2596" s="21"/>
      <c r="L2596" s="21"/>
      <c r="M2596" s="7"/>
      <c r="N2596" s="7"/>
      <c r="O2596" s="7"/>
      <c r="P2596" s="7"/>
      <c r="Q2596" s="7"/>
      <c r="R2596" s="7"/>
      <c r="S2596" s="7"/>
      <c r="T2596" s="7"/>
      <c r="U2596" s="7"/>
      <c r="V2596" s="7"/>
      <c r="W2596" s="7"/>
      <c r="X2596" s="7"/>
      <c r="Y2596" s="7"/>
      <c r="Z2596" s="7"/>
      <c r="AA2596" s="7"/>
      <c r="AB2596" s="7"/>
      <c r="AC2596" s="7"/>
      <c r="AD2596" s="7"/>
      <c r="AE2596" s="7"/>
    </row>
    <row r="2597">
      <c r="A2597" s="7"/>
      <c r="B2597" s="21"/>
      <c r="C2597" s="21"/>
      <c r="D2597" s="21"/>
      <c r="E2597" s="21"/>
      <c r="F2597" s="21"/>
      <c r="G2597" s="21"/>
      <c r="H2597" s="21"/>
      <c r="I2597" s="21"/>
      <c r="J2597" s="21"/>
      <c r="K2597" s="21"/>
      <c r="L2597" s="21"/>
      <c r="M2597" s="7"/>
      <c r="N2597" s="7"/>
      <c r="O2597" s="7"/>
      <c r="P2597" s="7"/>
      <c r="Q2597" s="7"/>
      <c r="R2597" s="7"/>
      <c r="S2597" s="7"/>
      <c r="T2597" s="7"/>
      <c r="U2597" s="7"/>
      <c r="V2597" s="7"/>
      <c r="W2597" s="7"/>
      <c r="X2597" s="7"/>
      <c r="Y2597" s="7"/>
      <c r="Z2597" s="7"/>
      <c r="AA2597" s="7"/>
      <c r="AB2597" s="7"/>
      <c r="AC2597" s="7"/>
      <c r="AD2597" s="7"/>
      <c r="AE2597" s="7"/>
    </row>
    <row r="2598">
      <c r="A2598" s="7"/>
      <c r="B2598" s="21"/>
      <c r="C2598" s="21"/>
      <c r="D2598" s="21"/>
      <c r="E2598" s="21"/>
      <c r="F2598" s="21"/>
      <c r="G2598" s="21"/>
      <c r="H2598" s="21"/>
      <c r="I2598" s="21"/>
      <c r="J2598" s="21"/>
      <c r="K2598" s="21"/>
      <c r="L2598" s="21"/>
      <c r="M2598" s="7"/>
      <c r="N2598" s="7"/>
      <c r="O2598" s="7"/>
      <c r="P2598" s="7"/>
      <c r="Q2598" s="7"/>
      <c r="R2598" s="7"/>
      <c r="S2598" s="7"/>
      <c r="T2598" s="7"/>
      <c r="U2598" s="7"/>
      <c r="V2598" s="7"/>
      <c r="W2598" s="7"/>
      <c r="X2598" s="7"/>
      <c r="Y2598" s="7"/>
      <c r="Z2598" s="7"/>
      <c r="AA2598" s="7"/>
      <c r="AB2598" s="7"/>
      <c r="AC2598" s="7"/>
      <c r="AD2598" s="7"/>
      <c r="AE2598" s="7"/>
    </row>
    <row r="2599">
      <c r="A2599" s="7"/>
      <c r="B2599" s="21"/>
      <c r="C2599" s="21"/>
      <c r="D2599" s="21"/>
      <c r="E2599" s="21"/>
      <c r="F2599" s="21"/>
      <c r="G2599" s="21"/>
      <c r="H2599" s="21"/>
      <c r="I2599" s="21"/>
      <c r="J2599" s="21"/>
      <c r="K2599" s="21"/>
      <c r="L2599" s="21"/>
      <c r="M2599" s="7"/>
      <c r="N2599" s="7"/>
      <c r="O2599" s="7"/>
      <c r="P2599" s="7"/>
      <c r="Q2599" s="7"/>
      <c r="R2599" s="7"/>
      <c r="S2599" s="7"/>
      <c r="T2599" s="7"/>
      <c r="U2599" s="7"/>
      <c r="V2599" s="7"/>
      <c r="W2599" s="7"/>
      <c r="X2599" s="7"/>
      <c r="Y2599" s="7"/>
      <c r="Z2599" s="7"/>
      <c r="AA2599" s="7"/>
      <c r="AB2599" s="7"/>
      <c r="AC2599" s="7"/>
      <c r="AD2599" s="7"/>
      <c r="AE2599" s="7"/>
    </row>
    <row r="2600">
      <c r="A2600" s="7"/>
      <c r="B2600" s="21"/>
      <c r="C2600" s="21"/>
      <c r="D2600" s="21"/>
      <c r="E2600" s="21"/>
      <c r="F2600" s="21"/>
      <c r="G2600" s="21"/>
      <c r="H2600" s="21"/>
      <c r="I2600" s="21"/>
      <c r="J2600" s="21"/>
      <c r="K2600" s="21"/>
      <c r="L2600" s="21"/>
      <c r="M2600" s="7"/>
      <c r="N2600" s="7"/>
      <c r="O2600" s="7"/>
      <c r="P2600" s="7"/>
      <c r="Q2600" s="7"/>
      <c r="R2600" s="7"/>
      <c r="S2600" s="7"/>
      <c r="T2600" s="7"/>
      <c r="U2600" s="7"/>
      <c r="V2600" s="7"/>
      <c r="W2600" s="7"/>
      <c r="X2600" s="7"/>
      <c r="Y2600" s="7"/>
      <c r="Z2600" s="7"/>
      <c r="AA2600" s="7"/>
      <c r="AB2600" s="7"/>
      <c r="AC2600" s="7"/>
      <c r="AD2600" s="7"/>
      <c r="AE2600" s="7"/>
    </row>
    <row r="2601">
      <c r="A2601" s="7"/>
      <c r="B2601" s="21"/>
      <c r="C2601" s="21"/>
      <c r="D2601" s="21"/>
      <c r="E2601" s="21"/>
      <c r="F2601" s="21"/>
      <c r="G2601" s="21"/>
      <c r="H2601" s="21"/>
      <c r="I2601" s="21"/>
      <c r="J2601" s="21"/>
      <c r="K2601" s="21"/>
      <c r="L2601" s="21"/>
      <c r="M2601" s="7"/>
      <c r="N2601" s="7"/>
      <c r="O2601" s="7"/>
      <c r="P2601" s="7"/>
      <c r="Q2601" s="7"/>
      <c r="R2601" s="7"/>
      <c r="S2601" s="7"/>
      <c r="T2601" s="7"/>
      <c r="U2601" s="7"/>
      <c r="V2601" s="7"/>
      <c r="W2601" s="7"/>
      <c r="X2601" s="7"/>
      <c r="Y2601" s="7"/>
      <c r="Z2601" s="7"/>
      <c r="AA2601" s="7"/>
      <c r="AB2601" s="7"/>
      <c r="AC2601" s="7"/>
      <c r="AD2601" s="7"/>
      <c r="AE2601" s="7"/>
    </row>
    <row r="2602">
      <c r="A2602" s="7"/>
      <c r="B2602" s="21"/>
      <c r="C2602" s="21"/>
      <c r="D2602" s="21"/>
      <c r="E2602" s="21"/>
      <c r="F2602" s="21"/>
      <c r="G2602" s="21"/>
      <c r="H2602" s="21"/>
      <c r="I2602" s="21"/>
      <c r="J2602" s="21"/>
      <c r="K2602" s="21"/>
      <c r="L2602" s="21"/>
      <c r="M2602" s="7"/>
      <c r="N2602" s="7"/>
      <c r="O2602" s="7"/>
      <c r="P2602" s="7"/>
      <c r="Q2602" s="7"/>
      <c r="R2602" s="7"/>
      <c r="S2602" s="7"/>
      <c r="T2602" s="7"/>
      <c r="U2602" s="7"/>
      <c r="V2602" s="7"/>
      <c r="W2602" s="7"/>
      <c r="X2602" s="7"/>
      <c r="Y2602" s="7"/>
      <c r="Z2602" s="7"/>
      <c r="AA2602" s="7"/>
      <c r="AB2602" s="7"/>
      <c r="AC2602" s="7"/>
      <c r="AD2602" s="7"/>
      <c r="AE2602" s="7"/>
    </row>
    <row r="2603">
      <c r="A2603" s="7"/>
      <c r="B2603" s="21"/>
      <c r="C2603" s="21"/>
      <c r="D2603" s="21"/>
      <c r="E2603" s="21"/>
      <c r="F2603" s="21"/>
      <c r="G2603" s="21"/>
      <c r="H2603" s="21"/>
      <c r="I2603" s="21"/>
      <c r="J2603" s="21"/>
      <c r="K2603" s="21"/>
      <c r="L2603" s="21"/>
      <c r="M2603" s="7"/>
      <c r="N2603" s="7"/>
      <c r="O2603" s="7"/>
      <c r="P2603" s="7"/>
      <c r="Q2603" s="7"/>
      <c r="R2603" s="7"/>
      <c r="S2603" s="7"/>
      <c r="T2603" s="7"/>
      <c r="U2603" s="7"/>
      <c r="V2603" s="7"/>
      <c r="W2603" s="7"/>
      <c r="X2603" s="7"/>
      <c r="Y2603" s="7"/>
      <c r="Z2603" s="7"/>
      <c r="AA2603" s="7"/>
      <c r="AB2603" s="7"/>
      <c r="AC2603" s="7"/>
      <c r="AD2603" s="7"/>
      <c r="AE2603" s="7"/>
    </row>
    <row r="2604">
      <c r="A2604" s="7"/>
      <c r="B2604" s="21"/>
      <c r="C2604" s="21"/>
      <c r="D2604" s="21"/>
      <c r="E2604" s="21"/>
      <c r="F2604" s="21"/>
      <c r="G2604" s="21"/>
      <c r="H2604" s="21"/>
      <c r="I2604" s="21"/>
      <c r="J2604" s="21"/>
      <c r="K2604" s="21"/>
      <c r="L2604" s="21"/>
      <c r="M2604" s="7"/>
      <c r="N2604" s="7"/>
      <c r="O2604" s="7"/>
      <c r="P2604" s="7"/>
      <c r="Q2604" s="7"/>
      <c r="R2604" s="7"/>
      <c r="S2604" s="7"/>
      <c r="T2604" s="7"/>
      <c r="U2604" s="7"/>
      <c r="V2604" s="7"/>
      <c r="W2604" s="7"/>
      <c r="X2604" s="7"/>
      <c r="Y2604" s="7"/>
      <c r="Z2604" s="7"/>
      <c r="AA2604" s="7"/>
      <c r="AB2604" s="7"/>
      <c r="AC2604" s="7"/>
      <c r="AD2604" s="7"/>
      <c r="AE2604" s="7"/>
    </row>
    <row r="2605">
      <c r="A2605" s="7"/>
      <c r="B2605" s="21"/>
      <c r="C2605" s="21"/>
      <c r="D2605" s="21"/>
      <c r="E2605" s="21"/>
      <c r="F2605" s="21"/>
      <c r="G2605" s="21"/>
      <c r="H2605" s="21"/>
      <c r="I2605" s="21"/>
      <c r="J2605" s="21"/>
      <c r="K2605" s="21"/>
      <c r="L2605" s="21"/>
      <c r="M2605" s="7"/>
      <c r="N2605" s="7"/>
      <c r="O2605" s="7"/>
      <c r="P2605" s="7"/>
      <c r="Q2605" s="7"/>
      <c r="R2605" s="7"/>
      <c r="S2605" s="7"/>
      <c r="T2605" s="7"/>
      <c r="U2605" s="7"/>
      <c r="V2605" s="7"/>
      <c r="W2605" s="7"/>
      <c r="X2605" s="7"/>
      <c r="Y2605" s="7"/>
      <c r="Z2605" s="7"/>
      <c r="AA2605" s="7"/>
      <c r="AB2605" s="7"/>
      <c r="AC2605" s="7"/>
      <c r="AD2605" s="7"/>
      <c r="AE2605" s="7"/>
    </row>
    <row r="2606">
      <c r="A2606" s="7"/>
      <c r="B2606" s="21"/>
      <c r="C2606" s="21"/>
      <c r="D2606" s="21"/>
      <c r="E2606" s="21"/>
      <c r="F2606" s="21"/>
      <c r="G2606" s="21"/>
      <c r="H2606" s="21"/>
      <c r="I2606" s="21"/>
      <c r="J2606" s="21"/>
      <c r="K2606" s="21"/>
      <c r="L2606" s="21"/>
      <c r="M2606" s="7"/>
      <c r="N2606" s="7"/>
      <c r="O2606" s="7"/>
      <c r="P2606" s="7"/>
      <c r="Q2606" s="7"/>
      <c r="R2606" s="7"/>
      <c r="S2606" s="7"/>
      <c r="T2606" s="7"/>
      <c r="U2606" s="7"/>
      <c r="V2606" s="7"/>
      <c r="W2606" s="7"/>
      <c r="X2606" s="7"/>
      <c r="Y2606" s="7"/>
      <c r="Z2606" s="7"/>
      <c r="AA2606" s="7"/>
      <c r="AB2606" s="7"/>
      <c r="AC2606" s="7"/>
      <c r="AD2606" s="7"/>
      <c r="AE2606" s="7"/>
    </row>
    <row r="2607">
      <c r="A2607" s="7"/>
      <c r="B2607" s="21"/>
      <c r="C2607" s="21"/>
      <c r="D2607" s="21"/>
      <c r="E2607" s="21"/>
      <c r="F2607" s="21"/>
      <c r="G2607" s="21"/>
      <c r="H2607" s="21"/>
      <c r="I2607" s="21"/>
      <c r="J2607" s="21"/>
      <c r="K2607" s="21"/>
      <c r="L2607" s="21"/>
      <c r="M2607" s="7"/>
      <c r="N2607" s="7"/>
      <c r="O2607" s="7"/>
      <c r="P2607" s="7"/>
      <c r="Q2607" s="7"/>
      <c r="R2607" s="7"/>
      <c r="S2607" s="7"/>
      <c r="T2607" s="7"/>
      <c r="U2607" s="7"/>
      <c r="V2607" s="7"/>
      <c r="W2607" s="7"/>
      <c r="X2607" s="7"/>
      <c r="Y2607" s="7"/>
      <c r="Z2607" s="7"/>
      <c r="AA2607" s="7"/>
      <c r="AB2607" s="7"/>
      <c r="AC2607" s="7"/>
      <c r="AD2607" s="7"/>
      <c r="AE2607" s="7"/>
    </row>
    <row r="2608">
      <c r="A2608" s="7"/>
      <c r="B2608" s="21"/>
      <c r="C2608" s="21"/>
      <c r="D2608" s="21"/>
      <c r="E2608" s="21"/>
      <c r="F2608" s="21"/>
      <c r="G2608" s="21"/>
      <c r="H2608" s="21"/>
      <c r="I2608" s="21"/>
      <c r="J2608" s="21"/>
      <c r="K2608" s="21"/>
      <c r="L2608" s="21"/>
      <c r="M2608" s="7"/>
      <c r="N2608" s="7"/>
      <c r="O2608" s="7"/>
      <c r="P2608" s="7"/>
      <c r="Q2608" s="7"/>
      <c r="R2608" s="7"/>
      <c r="S2608" s="7"/>
      <c r="T2608" s="7"/>
      <c r="U2608" s="7"/>
      <c r="V2608" s="7"/>
      <c r="W2608" s="7"/>
      <c r="X2608" s="7"/>
      <c r="Y2608" s="7"/>
      <c r="Z2608" s="7"/>
      <c r="AA2608" s="7"/>
      <c r="AB2608" s="7"/>
      <c r="AC2608" s="7"/>
      <c r="AD2608" s="7"/>
      <c r="AE2608" s="7"/>
    </row>
    <row r="2609">
      <c r="A2609" s="7"/>
      <c r="B2609" s="21"/>
      <c r="C2609" s="21"/>
      <c r="D2609" s="21"/>
      <c r="E2609" s="21"/>
      <c r="F2609" s="21"/>
      <c r="G2609" s="21"/>
      <c r="H2609" s="21"/>
      <c r="I2609" s="21"/>
      <c r="J2609" s="21"/>
      <c r="K2609" s="21"/>
      <c r="L2609" s="21"/>
      <c r="M2609" s="7"/>
      <c r="N2609" s="7"/>
      <c r="O2609" s="7"/>
      <c r="P2609" s="7"/>
      <c r="Q2609" s="7"/>
      <c r="R2609" s="7"/>
      <c r="S2609" s="7"/>
      <c r="T2609" s="7"/>
      <c r="U2609" s="7"/>
      <c r="V2609" s="7"/>
      <c r="W2609" s="7"/>
      <c r="X2609" s="7"/>
      <c r="Y2609" s="7"/>
      <c r="Z2609" s="7"/>
      <c r="AA2609" s="7"/>
      <c r="AB2609" s="7"/>
      <c r="AC2609" s="7"/>
      <c r="AD2609" s="7"/>
      <c r="AE2609" s="7"/>
    </row>
    <row r="2610">
      <c r="A2610" s="7"/>
      <c r="B2610" s="21"/>
      <c r="C2610" s="21"/>
      <c r="D2610" s="21"/>
      <c r="E2610" s="21"/>
      <c r="F2610" s="21"/>
      <c r="G2610" s="21"/>
      <c r="H2610" s="21"/>
      <c r="I2610" s="21"/>
      <c r="J2610" s="21"/>
      <c r="K2610" s="21"/>
      <c r="L2610" s="21"/>
      <c r="M2610" s="7"/>
      <c r="N2610" s="7"/>
      <c r="O2610" s="7"/>
      <c r="P2610" s="7"/>
      <c r="Q2610" s="7"/>
      <c r="R2610" s="7"/>
      <c r="S2610" s="7"/>
      <c r="T2610" s="7"/>
      <c r="U2610" s="7"/>
      <c r="V2610" s="7"/>
      <c r="W2610" s="7"/>
      <c r="X2610" s="7"/>
      <c r="Y2610" s="7"/>
      <c r="Z2610" s="7"/>
      <c r="AA2610" s="7"/>
      <c r="AB2610" s="7"/>
      <c r="AC2610" s="7"/>
      <c r="AD2610" s="7"/>
      <c r="AE2610" s="7"/>
    </row>
    <row r="2611">
      <c r="A2611" s="7"/>
      <c r="B2611" s="21"/>
      <c r="C2611" s="21"/>
      <c r="D2611" s="21"/>
      <c r="E2611" s="21"/>
      <c r="F2611" s="21"/>
      <c r="G2611" s="21"/>
      <c r="H2611" s="21"/>
      <c r="I2611" s="21"/>
      <c r="J2611" s="21"/>
      <c r="K2611" s="21"/>
      <c r="L2611" s="21"/>
      <c r="M2611" s="7"/>
      <c r="N2611" s="7"/>
      <c r="O2611" s="7"/>
      <c r="P2611" s="7"/>
      <c r="Q2611" s="7"/>
      <c r="R2611" s="7"/>
      <c r="S2611" s="7"/>
      <c r="T2611" s="7"/>
      <c r="U2611" s="7"/>
      <c r="V2611" s="7"/>
      <c r="W2611" s="7"/>
      <c r="X2611" s="7"/>
      <c r="Y2611" s="7"/>
      <c r="Z2611" s="7"/>
      <c r="AA2611" s="7"/>
      <c r="AB2611" s="7"/>
      <c r="AC2611" s="7"/>
      <c r="AD2611" s="7"/>
      <c r="AE2611" s="7"/>
    </row>
    <row r="2612">
      <c r="A2612" s="7"/>
      <c r="B2612" s="21"/>
      <c r="C2612" s="21"/>
      <c r="D2612" s="21"/>
      <c r="E2612" s="21"/>
      <c r="F2612" s="21"/>
      <c r="G2612" s="21"/>
      <c r="H2612" s="21"/>
      <c r="I2612" s="21"/>
      <c r="J2612" s="21"/>
      <c r="K2612" s="21"/>
      <c r="L2612" s="21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</row>
    <row r="2613">
      <c r="A2613" s="7"/>
      <c r="B2613" s="21"/>
      <c r="C2613" s="21"/>
      <c r="D2613" s="21"/>
      <c r="E2613" s="21"/>
      <c r="F2613" s="21"/>
      <c r="G2613" s="21"/>
      <c r="H2613" s="21"/>
      <c r="I2613" s="21"/>
      <c r="J2613" s="21"/>
      <c r="K2613" s="21"/>
      <c r="L2613" s="21"/>
      <c r="M2613" s="7"/>
      <c r="N2613" s="7"/>
      <c r="O2613" s="7"/>
      <c r="P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</row>
    <row r="2614">
      <c r="A2614" s="7"/>
      <c r="B2614" s="21"/>
      <c r="C2614" s="21"/>
      <c r="D2614" s="21"/>
      <c r="E2614" s="21"/>
      <c r="F2614" s="21"/>
      <c r="G2614" s="21"/>
      <c r="H2614" s="21"/>
      <c r="I2614" s="21"/>
      <c r="J2614" s="21"/>
      <c r="K2614" s="21"/>
      <c r="L2614" s="21"/>
      <c r="M2614" s="7"/>
      <c r="N2614" s="7"/>
      <c r="O2614" s="7"/>
      <c r="P2614" s="7"/>
      <c r="Q2614" s="7"/>
      <c r="R2614" s="7"/>
      <c r="S2614" s="7"/>
      <c r="T2614" s="7"/>
      <c r="U2614" s="7"/>
      <c r="V2614" s="7"/>
      <c r="W2614" s="7"/>
      <c r="X2614" s="7"/>
      <c r="Y2614" s="7"/>
      <c r="Z2614" s="7"/>
      <c r="AA2614" s="7"/>
      <c r="AB2614" s="7"/>
      <c r="AC2614" s="7"/>
      <c r="AD2614" s="7"/>
      <c r="AE2614" s="7"/>
    </row>
    <row r="2615">
      <c r="A2615" s="7"/>
      <c r="B2615" s="21"/>
      <c r="C2615" s="21"/>
      <c r="D2615" s="21"/>
      <c r="E2615" s="21"/>
      <c r="F2615" s="21"/>
      <c r="G2615" s="21"/>
      <c r="H2615" s="21"/>
      <c r="I2615" s="21"/>
      <c r="J2615" s="21"/>
      <c r="K2615" s="21"/>
      <c r="L2615" s="21"/>
      <c r="M2615" s="7"/>
      <c r="N2615" s="7"/>
      <c r="O2615" s="7"/>
      <c r="P2615" s="7"/>
      <c r="Q2615" s="7"/>
      <c r="R2615" s="7"/>
      <c r="S2615" s="7"/>
      <c r="T2615" s="7"/>
      <c r="U2615" s="7"/>
      <c r="V2615" s="7"/>
      <c r="W2615" s="7"/>
      <c r="X2615" s="7"/>
      <c r="Y2615" s="7"/>
      <c r="Z2615" s="7"/>
      <c r="AA2615" s="7"/>
      <c r="AB2615" s="7"/>
      <c r="AC2615" s="7"/>
      <c r="AD2615" s="7"/>
      <c r="AE2615" s="7"/>
    </row>
    <row r="2616">
      <c r="A2616" s="7"/>
      <c r="B2616" s="21"/>
      <c r="C2616" s="21"/>
      <c r="D2616" s="21"/>
      <c r="E2616" s="21"/>
      <c r="F2616" s="21"/>
      <c r="G2616" s="21"/>
      <c r="H2616" s="21"/>
      <c r="I2616" s="21"/>
      <c r="J2616" s="21"/>
      <c r="K2616" s="21"/>
      <c r="L2616" s="21"/>
      <c r="M2616" s="7"/>
      <c r="N2616" s="7"/>
      <c r="O2616" s="7"/>
      <c r="P2616" s="7"/>
      <c r="Q2616" s="7"/>
      <c r="R2616" s="7"/>
      <c r="S2616" s="7"/>
      <c r="T2616" s="7"/>
      <c r="U2616" s="7"/>
      <c r="V2616" s="7"/>
      <c r="W2616" s="7"/>
      <c r="X2616" s="7"/>
      <c r="Y2616" s="7"/>
      <c r="Z2616" s="7"/>
      <c r="AA2616" s="7"/>
      <c r="AB2616" s="7"/>
      <c r="AC2616" s="7"/>
      <c r="AD2616" s="7"/>
      <c r="AE2616" s="7"/>
    </row>
    <row r="2617">
      <c r="A2617" s="7"/>
      <c r="B2617" s="21"/>
      <c r="C2617" s="21"/>
      <c r="D2617" s="21"/>
      <c r="E2617" s="21"/>
      <c r="F2617" s="21"/>
      <c r="G2617" s="21"/>
      <c r="H2617" s="21"/>
      <c r="I2617" s="21"/>
      <c r="J2617" s="21"/>
      <c r="K2617" s="21"/>
      <c r="L2617" s="21"/>
      <c r="M2617" s="7"/>
      <c r="N2617" s="7"/>
      <c r="O2617" s="7"/>
      <c r="P2617" s="7"/>
      <c r="Q2617" s="7"/>
      <c r="R2617" s="7"/>
      <c r="S2617" s="7"/>
      <c r="T2617" s="7"/>
      <c r="U2617" s="7"/>
      <c r="V2617" s="7"/>
      <c r="W2617" s="7"/>
      <c r="X2617" s="7"/>
      <c r="Y2617" s="7"/>
      <c r="Z2617" s="7"/>
      <c r="AA2617" s="7"/>
      <c r="AB2617" s="7"/>
      <c r="AC2617" s="7"/>
      <c r="AD2617" s="7"/>
      <c r="AE2617" s="7"/>
    </row>
    <row r="2618">
      <c r="A2618" s="7"/>
      <c r="B2618" s="21"/>
      <c r="C2618" s="21"/>
      <c r="D2618" s="21"/>
      <c r="E2618" s="21"/>
      <c r="F2618" s="21"/>
      <c r="G2618" s="21"/>
      <c r="H2618" s="21"/>
      <c r="I2618" s="21"/>
      <c r="J2618" s="21"/>
      <c r="K2618" s="21"/>
      <c r="L2618" s="21"/>
      <c r="M2618" s="7"/>
      <c r="N2618" s="7"/>
      <c r="O2618" s="7"/>
      <c r="P2618" s="7"/>
      <c r="Q2618" s="7"/>
      <c r="R2618" s="7"/>
      <c r="S2618" s="7"/>
      <c r="T2618" s="7"/>
      <c r="U2618" s="7"/>
      <c r="V2618" s="7"/>
      <c r="W2618" s="7"/>
      <c r="X2618" s="7"/>
      <c r="Y2618" s="7"/>
      <c r="Z2618" s="7"/>
      <c r="AA2618" s="7"/>
      <c r="AB2618" s="7"/>
      <c r="AC2618" s="7"/>
      <c r="AD2618" s="7"/>
      <c r="AE2618" s="7"/>
    </row>
    <row r="2619">
      <c r="A2619" s="7"/>
      <c r="B2619" s="21"/>
      <c r="C2619" s="21"/>
      <c r="D2619" s="21"/>
      <c r="E2619" s="21"/>
      <c r="F2619" s="21"/>
      <c r="G2619" s="21"/>
      <c r="H2619" s="21"/>
      <c r="I2619" s="21"/>
      <c r="J2619" s="21"/>
      <c r="K2619" s="21"/>
      <c r="L2619" s="21"/>
      <c r="M2619" s="7"/>
      <c r="N2619" s="7"/>
      <c r="O2619" s="7"/>
      <c r="P2619" s="7"/>
      <c r="Q2619" s="7"/>
      <c r="R2619" s="7"/>
      <c r="S2619" s="7"/>
      <c r="T2619" s="7"/>
      <c r="U2619" s="7"/>
      <c r="V2619" s="7"/>
      <c r="W2619" s="7"/>
      <c r="X2619" s="7"/>
      <c r="Y2619" s="7"/>
      <c r="Z2619" s="7"/>
      <c r="AA2619" s="7"/>
      <c r="AB2619" s="7"/>
      <c r="AC2619" s="7"/>
      <c r="AD2619" s="7"/>
      <c r="AE2619" s="7"/>
    </row>
    <row r="2620">
      <c r="A2620" s="7"/>
      <c r="B2620" s="21"/>
      <c r="C2620" s="21"/>
      <c r="D2620" s="21"/>
      <c r="E2620" s="21"/>
      <c r="F2620" s="21"/>
      <c r="G2620" s="21"/>
      <c r="H2620" s="21"/>
      <c r="I2620" s="21"/>
      <c r="J2620" s="21"/>
      <c r="K2620" s="21"/>
      <c r="L2620" s="21"/>
      <c r="M2620" s="7"/>
      <c r="N2620" s="7"/>
      <c r="O2620" s="7"/>
      <c r="P2620" s="7"/>
      <c r="Q2620" s="7"/>
      <c r="R2620" s="7"/>
      <c r="S2620" s="7"/>
      <c r="T2620" s="7"/>
      <c r="U2620" s="7"/>
      <c r="V2620" s="7"/>
      <c r="W2620" s="7"/>
      <c r="X2620" s="7"/>
      <c r="Y2620" s="7"/>
      <c r="Z2620" s="7"/>
      <c r="AA2620" s="7"/>
      <c r="AB2620" s="7"/>
      <c r="AC2620" s="7"/>
      <c r="AD2620" s="7"/>
      <c r="AE2620" s="7"/>
    </row>
    <row r="2621">
      <c r="A2621" s="7"/>
      <c r="B2621" s="21"/>
      <c r="C2621" s="21"/>
      <c r="D2621" s="21"/>
      <c r="E2621" s="21"/>
      <c r="F2621" s="21"/>
      <c r="G2621" s="21"/>
      <c r="H2621" s="21"/>
      <c r="I2621" s="21"/>
      <c r="J2621" s="21"/>
      <c r="K2621" s="21"/>
      <c r="L2621" s="21"/>
      <c r="M2621" s="7"/>
      <c r="N2621" s="7"/>
      <c r="O2621" s="7"/>
      <c r="P2621" s="7"/>
      <c r="Q2621" s="7"/>
      <c r="R2621" s="7"/>
      <c r="S2621" s="7"/>
      <c r="T2621" s="7"/>
      <c r="U2621" s="7"/>
      <c r="V2621" s="7"/>
      <c r="W2621" s="7"/>
      <c r="X2621" s="7"/>
      <c r="Y2621" s="7"/>
      <c r="Z2621" s="7"/>
      <c r="AA2621" s="7"/>
      <c r="AB2621" s="7"/>
      <c r="AC2621" s="7"/>
      <c r="AD2621" s="7"/>
      <c r="AE2621" s="7"/>
    </row>
    <row r="2622">
      <c r="A2622" s="7"/>
      <c r="B2622" s="21"/>
      <c r="C2622" s="21"/>
      <c r="D2622" s="21"/>
      <c r="E2622" s="21"/>
      <c r="F2622" s="21"/>
      <c r="G2622" s="21"/>
      <c r="H2622" s="21"/>
      <c r="I2622" s="21"/>
      <c r="J2622" s="21"/>
      <c r="K2622" s="21"/>
      <c r="L2622" s="21"/>
      <c r="M2622" s="7"/>
      <c r="N2622" s="7"/>
      <c r="O2622" s="7"/>
      <c r="P2622" s="7"/>
      <c r="Q2622" s="7"/>
      <c r="R2622" s="7"/>
      <c r="S2622" s="7"/>
      <c r="T2622" s="7"/>
      <c r="U2622" s="7"/>
      <c r="V2622" s="7"/>
      <c r="W2622" s="7"/>
      <c r="X2622" s="7"/>
      <c r="Y2622" s="7"/>
      <c r="Z2622" s="7"/>
      <c r="AA2622" s="7"/>
      <c r="AB2622" s="7"/>
      <c r="AC2622" s="7"/>
      <c r="AD2622" s="7"/>
      <c r="AE2622" s="7"/>
    </row>
    <row r="2623">
      <c r="A2623" s="7"/>
      <c r="B2623" s="21"/>
      <c r="C2623" s="21"/>
      <c r="D2623" s="21"/>
      <c r="E2623" s="21"/>
      <c r="F2623" s="21"/>
      <c r="G2623" s="21"/>
      <c r="H2623" s="21"/>
      <c r="I2623" s="21"/>
      <c r="J2623" s="21"/>
      <c r="K2623" s="21"/>
      <c r="L2623" s="21"/>
      <c r="M2623" s="7"/>
      <c r="N2623" s="7"/>
      <c r="O2623" s="7"/>
      <c r="P2623" s="7"/>
      <c r="Q2623" s="7"/>
      <c r="R2623" s="7"/>
      <c r="S2623" s="7"/>
      <c r="T2623" s="7"/>
      <c r="U2623" s="7"/>
      <c r="V2623" s="7"/>
      <c r="W2623" s="7"/>
      <c r="X2623" s="7"/>
      <c r="Y2623" s="7"/>
      <c r="Z2623" s="7"/>
      <c r="AA2623" s="7"/>
      <c r="AB2623" s="7"/>
      <c r="AC2623" s="7"/>
      <c r="AD2623" s="7"/>
      <c r="AE2623" s="7"/>
    </row>
    <row r="2624">
      <c r="A2624" s="7"/>
      <c r="B2624" s="21"/>
      <c r="C2624" s="21"/>
      <c r="D2624" s="21"/>
      <c r="E2624" s="21"/>
      <c r="F2624" s="21"/>
      <c r="G2624" s="21"/>
      <c r="H2624" s="21"/>
      <c r="I2624" s="21"/>
      <c r="J2624" s="21"/>
      <c r="K2624" s="21"/>
      <c r="L2624" s="21"/>
      <c r="M2624" s="7"/>
      <c r="N2624" s="7"/>
      <c r="O2624" s="7"/>
      <c r="P2624" s="7"/>
      <c r="Q2624" s="7"/>
      <c r="R2624" s="7"/>
      <c r="S2624" s="7"/>
      <c r="T2624" s="7"/>
      <c r="U2624" s="7"/>
      <c r="V2624" s="7"/>
      <c r="W2624" s="7"/>
      <c r="X2624" s="7"/>
      <c r="Y2624" s="7"/>
      <c r="Z2624" s="7"/>
      <c r="AA2624" s="7"/>
      <c r="AB2624" s="7"/>
      <c r="AC2624" s="7"/>
      <c r="AD2624" s="7"/>
      <c r="AE2624" s="7"/>
    </row>
    <row r="2625">
      <c r="A2625" s="7"/>
      <c r="B2625" s="21"/>
      <c r="C2625" s="21"/>
      <c r="D2625" s="21"/>
      <c r="E2625" s="21"/>
      <c r="F2625" s="21"/>
      <c r="G2625" s="21"/>
      <c r="H2625" s="21"/>
      <c r="I2625" s="21"/>
      <c r="J2625" s="21"/>
      <c r="K2625" s="21"/>
      <c r="L2625" s="21"/>
      <c r="M2625" s="7"/>
      <c r="N2625" s="7"/>
      <c r="O2625" s="7"/>
      <c r="P2625" s="7"/>
      <c r="Q2625" s="7"/>
      <c r="R2625" s="7"/>
      <c r="S2625" s="7"/>
      <c r="T2625" s="7"/>
      <c r="U2625" s="7"/>
      <c r="V2625" s="7"/>
      <c r="W2625" s="7"/>
      <c r="X2625" s="7"/>
      <c r="Y2625" s="7"/>
      <c r="Z2625" s="7"/>
      <c r="AA2625" s="7"/>
      <c r="AB2625" s="7"/>
      <c r="AC2625" s="7"/>
      <c r="AD2625" s="7"/>
      <c r="AE2625" s="7"/>
    </row>
    <row r="2626">
      <c r="A2626" s="7"/>
      <c r="B2626" s="21"/>
      <c r="C2626" s="21"/>
      <c r="D2626" s="21"/>
      <c r="E2626" s="21"/>
      <c r="F2626" s="21"/>
      <c r="G2626" s="21"/>
      <c r="H2626" s="21"/>
      <c r="I2626" s="21"/>
      <c r="J2626" s="21"/>
      <c r="K2626" s="21"/>
      <c r="L2626" s="21"/>
      <c r="M2626" s="7"/>
      <c r="N2626" s="7"/>
      <c r="O2626" s="7"/>
      <c r="P2626" s="7"/>
      <c r="Q2626" s="7"/>
      <c r="R2626" s="7"/>
      <c r="S2626" s="7"/>
      <c r="T2626" s="7"/>
      <c r="U2626" s="7"/>
      <c r="V2626" s="7"/>
      <c r="W2626" s="7"/>
      <c r="X2626" s="7"/>
      <c r="Y2626" s="7"/>
      <c r="Z2626" s="7"/>
      <c r="AA2626" s="7"/>
      <c r="AB2626" s="7"/>
      <c r="AC2626" s="7"/>
      <c r="AD2626" s="7"/>
      <c r="AE2626" s="7"/>
    </row>
    <row r="2627">
      <c r="A2627" s="7"/>
      <c r="B2627" s="21"/>
      <c r="C2627" s="21"/>
      <c r="D2627" s="21"/>
      <c r="E2627" s="21"/>
      <c r="F2627" s="21"/>
      <c r="G2627" s="21"/>
      <c r="H2627" s="21"/>
      <c r="I2627" s="21"/>
      <c r="J2627" s="21"/>
      <c r="K2627" s="21"/>
      <c r="L2627" s="21"/>
      <c r="M2627" s="7"/>
      <c r="N2627" s="7"/>
      <c r="O2627" s="7"/>
      <c r="P2627" s="7"/>
      <c r="Q2627" s="7"/>
      <c r="R2627" s="7"/>
      <c r="S2627" s="7"/>
      <c r="T2627" s="7"/>
      <c r="U2627" s="7"/>
      <c r="V2627" s="7"/>
      <c r="W2627" s="7"/>
      <c r="X2627" s="7"/>
      <c r="Y2627" s="7"/>
      <c r="Z2627" s="7"/>
      <c r="AA2627" s="7"/>
      <c r="AB2627" s="7"/>
      <c r="AC2627" s="7"/>
      <c r="AD2627" s="7"/>
      <c r="AE2627" s="7"/>
    </row>
    <row r="2628">
      <c r="A2628" s="7"/>
      <c r="B2628" s="21"/>
      <c r="C2628" s="21"/>
      <c r="D2628" s="21"/>
      <c r="E2628" s="21"/>
      <c r="F2628" s="21"/>
      <c r="G2628" s="21"/>
      <c r="H2628" s="21"/>
      <c r="I2628" s="21"/>
      <c r="J2628" s="21"/>
      <c r="K2628" s="21"/>
      <c r="L2628" s="21"/>
      <c r="M2628" s="7"/>
      <c r="N2628" s="7"/>
      <c r="O2628" s="7"/>
      <c r="P2628" s="7"/>
      <c r="Q2628" s="7"/>
      <c r="R2628" s="7"/>
      <c r="S2628" s="7"/>
      <c r="T2628" s="7"/>
      <c r="U2628" s="7"/>
      <c r="V2628" s="7"/>
      <c r="W2628" s="7"/>
      <c r="X2628" s="7"/>
      <c r="Y2628" s="7"/>
      <c r="Z2628" s="7"/>
      <c r="AA2628" s="7"/>
      <c r="AB2628" s="7"/>
      <c r="AC2628" s="7"/>
      <c r="AD2628" s="7"/>
      <c r="AE2628" s="7"/>
    </row>
    <row r="2629">
      <c r="A2629" s="7"/>
      <c r="B2629" s="21"/>
      <c r="C2629" s="21"/>
      <c r="D2629" s="21"/>
      <c r="E2629" s="21"/>
      <c r="F2629" s="21"/>
      <c r="G2629" s="21"/>
      <c r="H2629" s="21"/>
      <c r="I2629" s="21"/>
      <c r="J2629" s="21"/>
      <c r="K2629" s="21"/>
      <c r="L2629" s="21"/>
      <c r="M2629" s="7"/>
      <c r="N2629" s="7"/>
      <c r="O2629" s="7"/>
      <c r="P2629" s="7"/>
      <c r="Q2629" s="7"/>
      <c r="R2629" s="7"/>
      <c r="S2629" s="7"/>
      <c r="T2629" s="7"/>
      <c r="U2629" s="7"/>
      <c r="V2629" s="7"/>
      <c r="W2629" s="7"/>
      <c r="X2629" s="7"/>
      <c r="Y2629" s="7"/>
      <c r="Z2629" s="7"/>
      <c r="AA2629" s="7"/>
      <c r="AB2629" s="7"/>
      <c r="AC2629" s="7"/>
      <c r="AD2629" s="7"/>
      <c r="AE2629" s="7"/>
    </row>
    <row r="2630">
      <c r="A2630" s="7"/>
      <c r="B2630" s="21"/>
      <c r="C2630" s="21"/>
      <c r="D2630" s="21"/>
      <c r="E2630" s="21"/>
      <c r="F2630" s="21"/>
      <c r="G2630" s="21"/>
      <c r="H2630" s="21"/>
      <c r="I2630" s="21"/>
      <c r="J2630" s="21"/>
      <c r="K2630" s="21"/>
      <c r="L2630" s="21"/>
      <c r="M2630" s="7"/>
      <c r="N2630" s="7"/>
      <c r="O2630" s="7"/>
      <c r="P2630" s="7"/>
      <c r="Q2630" s="7"/>
      <c r="R2630" s="7"/>
      <c r="S2630" s="7"/>
      <c r="T2630" s="7"/>
      <c r="U2630" s="7"/>
      <c r="V2630" s="7"/>
      <c r="W2630" s="7"/>
      <c r="X2630" s="7"/>
      <c r="Y2630" s="7"/>
      <c r="Z2630" s="7"/>
      <c r="AA2630" s="7"/>
      <c r="AB2630" s="7"/>
      <c r="AC2630" s="7"/>
      <c r="AD2630" s="7"/>
      <c r="AE2630" s="7"/>
    </row>
    <row r="2631">
      <c r="A2631" s="7"/>
      <c r="B2631" s="21"/>
      <c r="C2631" s="21"/>
      <c r="D2631" s="21"/>
      <c r="E2631" s="21"/>
      <c r="F2631" s="21"/>
      <c r="G2631" s="21"/>
      <c r="H2631" s="21"/>
      <c r="I2631" s="21"/>
      <c r="J2631" s="21"/>
      <c r="K2631" s="21"/>
      <c r="L2631" s="21"/>
      <c r="M2631" s="7"/>
      <c r="N2631" s="7"/>
      <c r="O2631" s="7"/>
      <c r="P2631" s="7"/>
      <c r="Q2631" s="7"/>
      <c r="R2631" s="7"/>
      <c r="S2631" s="7"/>
      <c r="T2631" s="7"/>
      <c r="U2631" s="7"/>
      <c r="V2631" s="7"/>
      <c r="W2631" s="7"/>
      <c r="X2631" s="7"/>
      <c r="Y2631" s="7"/>
      <c r="Z2631" s="7"/>
      <c r="AA2631" s="7"/>
      <c r="AB2631" s="7"/>
      <c r="AC2631" s="7"/>
      <c r="AD2631" s="7"/>
      <c r="AE2631" s="7"/>
    </row>
    <row r="2632">
      <c r="A2632" s="7"/>
      <c r="B2632" s="21"/>
      <c r="C2632" s="21"/>
      <c r="D2632" s="21"/>
      <c r="E2632" s="21"/>
      <c r="F2632" s="21"/>
      <c r="G2632" s="21"/>
      <c r="H2632" s="21"/>
      <c r="I2632" s="21"/>
      <c r="J2632" s="21"/>
      <c r="K2632" s="21"/>
      <c r="L2632" s="21"/>
      <c r="M2632" s="7"/>
      <c r="N2632" s="7"/>
      <c r="O2632" s="7"/>
      <c r="P2632" s="7"/>
      <c r="Q2632" s="7"/>
      <c r="R2632" s="7"/>
      <c r="S2632" s="7"/>
      <c r="T2632" s="7"/>
      <c r="U2632" s="7"/>
      <c r="V2632" s="7"/>
      <c r="W2632" s="7"/>
      <c r="X2632" s="7"/>
      <c r="Y2632" s="7"/>
      <c r="Z2632" s="7"/>
      <c r="AA2632" s="7"/>
      <c r="AB2632" s="7"/>
      <c r="AC2632" s="7"/>
      <c r="AD2632" s="7"/>
      <c r="AE2632" s="7"/>
    </row>
    <row r="2633">
      <c r="A2633" s="7"/>
      <c r="B2633" s="21"/>
      <c r="C2633" s="21"/>
      <c r="D2633" s="21"/>
      <c r="E2633" s="21"/>
      <c r="F2633" s="21"/>
      <c r="G2633" s="21"/>
      <c r="H2633" s="21"/>
      <c r="I2633" s="21"/>
      <c r="J2633" s="21"/>
      <c r="K2633" s="21"/>
      <c r="L2633" s="21"/>
      <c r="M2633" s="7"/>
      <c r="N2633" s="7"/>
      <c r="O2633" s="7"/>
      <c r="P2633" s="7"/>
      <c r="Q2633" s="7"/>
      <c r="R2633" s="7"/>
      <c r="S2633" s="7"/>
      <c r="T2633" s="7"/>
      <c r="U2633" s="7"/>
      <c r="V2633" s="7"/>
      <c r="W2633" s="7"/>
      <c r="X2633" s="7"/>
      <c r="Y2633" s="7"/>
      <c r="Z2633" s="7"/>
      <c r="AA2633" s="7"/>
      <c r="AB2633" s="7"/>
      <c r="AC2633" s="7"/>
      <c r="AD2633" s="7"/>
      <c r="AE2633" s="7"/>
    </row>
    <row r="2634">
      <c r="A2634" s="7"/>
      <c r="B2634" s="21"/>
      <c r="C2634" s="21"/>
      <c r="D2634" s="21"/>
      <c r="E2634" s="21"/>
      <c r="F2634" s="21"/>
      <c r="G2634" s="21"/>
      <c r="H2634" s="21"/>
      <c r="I2634" s="21"/>
      <c r="J2634" s="21"/>
      <c r="K2634" s="21"/>
      <c r="L2634" s="21"/>
      <c r="M2634" s="7"/>
      <c r="N2634" s="7"/>
      <c r="O2634" s="7"/>
      <c r="P2634" s="7"/>
      <c r="Q2634" s="7"/>
      <c r="R2634" s="7"/>
      <c r="S2634" s="7"/>
      <c r="T2634" s="7"/>
      <c r="U2634" s="7"/>
      <c r="V2634" s="7"/>
      <c r="W2634" s="7"/>
      <c r="X2634" s="7"/>
      <c r="Y2634" s="7"/>
      <c r="Z2634" s="7"/>
      <c r="AA2634" s="7"/>
      <c r="AB2634" s="7"/>
      <c r="AC2634" s="7"/>
      <c r="AD2634" s="7"/>
      <c r="AE2634" s="7"/>
    </row>
    <row r="2635">
      <c r="A2635" s="7"/>
      <c r="B2635" s="21"/>
      <c r="C2635" s="21"/>
      <c r="D2635" s="21"/>
      <c r="E2635" s="21"/>
      <c r="F2635" s="21"/>
      <c r="G2635" s="21"/>
      <c r="H2635" s="21"/>
      <c r="I2635" s="21"/>
      <c r="J2635" s="21"/>
      <c r="K2635" s="21"/>
      <c r="L2635" s="21"/>
      <c r="M2635" s="7"/>
      <c r="N2635" s="7"/>
      <c r="O2635" s="7"/>
      <c r="P2635" s="7"/>
      <c r="Q2635" s="7"/>
      <c r="R2635" s="7"/>
      <c r="S2635" s="7"/>
      <c r="T2635" s="7"/>
      <c r="U2635" s="7"/>
      <c r="V2635" s="7"/>
      <c r="W2635" s="7"/>
      <c r="X2635" s="7"/>
      <c r="Y2635" s="7"/>
      <c r="Z2635" s="7"/>
      <c r="AA2635" s="7"/>
      <c r="AB2635" s="7"/>
      <c r="AC2635" s="7"/>
      <c r="AD2635" s="7"/>
      <c r="AE2635" s="7"/>
    </row>
    <row r="2636">
      <c r="A2636" s="7"/>
      <c r="B2636" s="21"/>
      <c r="C2636" s="21"/>
      <c r="D2636" s="21"/>
      <c r="E2636" s="21"/>
      <c r="F2636" s="21"/>
      <c r="G2636" s="21"/>
      <c r="H2636" s="21"/>
      <c r="I2636" s="21"/>
      <c r="J2636" s="21"/>
      <c r="K2636" s="21"/>
      <c r="L2636" s="21"/>
      <c r="M2636" s="7"/>
      <c r="N2636" s="7"/>
      <c r="O2636" s="7"/>
      <c r="P2636" s="7"/>
      <c r="Q2636" s="7"/>
      <c r="R2636" s="7"/>
      <c r="S2636" s="7"/>
      <c r="T2636" s="7"/>
      <c r="U2636" s="7"/>
      <c r="V2636" s="7"/>
      <c r="W2636" s="7"/>
      <c r="X2636" s="7"/>
      <c r="Y2636" s="7"/>
      <c r="Z2636" s="7"/>
      <c r="AA2636" s="7"/>
      <c r="AB2636" s="7"/>
      <c r="AC2636" s="7"/>
      <c r="AD2636" s="7"/>
      <c r="AE2636" s="7"/>
    </row>
    <row r="2637">
      <c r="A2637" s="7"/>
      <c r="B2637" s="21"/>
      <c r="C2637" s="21"/>
      <c r="D2637" s="21"/>
      <c r="E2637" s="21"/>
      <c r="F2637" s="21"/>
      <c r="G2637" s="21"/>
      <c r="H2637" s="21"/>
      <c r="I2637" s="21"/>
      <c r="J2637" s="21"/>
      <c r="K2637" s="21"/>
      <c r="L2637" s="21"/>
      <c r="M2637" s="7"/>
      <c r="N2637" s="7"/>
      <c r="O2637" s="7"/>
      <c r="P2637" s="7"/>
      <c r="Q2637" s="7"/>
      <c r="R2637" s="7"/>
      <c r="S2637" s="7"/>
      <c r="T2637" s="7"/>
      <c r="U2637" s="7"/>
      <c r="V2637" s="7"/>
      <c r="W2637" s="7"/>
      <c r="X2637" s="7"/>
      <c r="Y2637" s="7"/>
      <c r="Z2637" s="7"/>
      <c r="AA2637" s="7"/>
      <c r="AB2637" s="7"/>
      <c r="AC2637" s="7"/>
      <c r="AD2637" s="7"/>
      <c r="AE2637" s="7"/>
    </row>
    <row r="2638">
      <c r="A2638" s="7"/>
      <c r="B2638" s="21"/>
      <c r="C2638" s="21"/>
      <c r="D2638" s="21"/>
      <c r="E2638" s="21"/>
      <c r="F2638" s="21"/>
      <c r="G2638" s="21"/>
      <c r="H2638" s="21"/>
      <c r="I2638" s="21"/>
      <c r="J2638" s="21"/>
      <c r="K2638" s="21"/>
      <c r="L2638" s="21"/>
      <c r="M2638" s="7"/>
      <c r="N2638" s="7"/>
      <c r="O2638" s="7"/>
      <c r="P2638" s="7"/>
      <c r="Q2638" s="7"/>
      <c r="R2638" s="7"/>
      <c r="S2638" s="7"/>
      <c r="T2638" s="7"/>
      <c r="U2638" s="7"/>
      <c r="V2638" s="7"/>
      <c r="W2638" s="7"/>
      <c r="X2638" s="7"/>
      <c r="Y2638" s="7"/>
      <c r="Z2638" s="7"/>
      <c r="AA2638" s="7"/>
      <c r="AB2638" s="7"/>
      <c r="AC2638" s="7"/>
      <c r="AD2638" s="7"/>
      <c r="AE2638" s="7"/>
    </row>
    <row r="2639">
      <c r="A2639" s="7"/>
      <c r="B2639" s="21"/>
      <c r="C2639" s="21"/>
      <c r="D2639" s="21"/>
      <c r="E2639" s="21"/>
      <c r="F2639" s="21"/>
      <c r="G2639" s="21"/>
      <c r="H2639" s="21"/>
      <c r="I2639" s="21"/>
      <c r="J2639" s="21"/>
      <c r="K2639" s="21"/>
      <c r="L2639" s="21"/>
      <c r="M2639" s="7"/>
      <c r="N2639" s="7"/>
      <c r="O2639" s="7"/>
      <c r="P2639" s="7"/>
      <c r="Q2639" s="7"/>
      <c r="R2639" s="7"/>
      <c r="S2639" s="7"/>
      <c r="T2639" s="7"/>
      <c r="U2639" s="7"/>
      <c r="V2639" s="7"/>
      <c r="W2639" s="7"/>
      <c r="X2639" s="7"/>
      <c r="Y2639" s="7"/>
      <c r="Z2639" s="7"/>
      <c r="AA2639" s="7"/>
      <c r="AB2639" s="7"/>
      <c r="AC2639" s="7"/>
      <c r="AD2639" s="7"/>
      <c r="AE2639" s="7"/>
    </row>
    <row r="2640">
      <c r="A2640" s="7"/>
      <c r="B2640" s="21"/>
      <c r="C2640" s="21"/>
      <c r="D2640" s="21"/>
      <c r="E2640" s="21"/>
      <c r="F2640" s="21"/>
      <c r="G2640" s="21"/>
      <c r="H2640" s="21"/>
      <c r="I2640" s="21"/>
      <c r="J2640" s="21"/>
      <c r="K2640" s="21"/>
      <c r="L2640" s="21"/>
      <c r="M2640" s="7"/>
      <c r="N2640" s="7"/>
      <c r="O2640" s="7"/>
      <c r="P2640" s="7"/>
      <c r="Q2640" s="7"/>
      <c r="R2640" s="7"/>
      <c r="S2640" s="7"/>
      <c r="T2640" s="7"/>
      <c r="U2640" s="7"/>
      <c r="V2640" s="7"/>
      <c r="W2640" s="7"/>
      <c r="X2640" s="7"/>
      <c r="Y2640" s="7"/>
      <c r="Z2640" s="7"/>
      <c r="AA2640" s="7"/>
      <c r="AB2640" s="7"/>
      <c r="AC2640" s="7"/>
      <c r="AD2640" s="7"/>
      <c r="AE2640" s="7"/>
    </row>
    <row r="2641">
      <c r="A2641" s="7"/>
      <c r="B2641" s="21"/>
      <c r="C2641" s="21"/>
      <c r="D2641" s="21"/>
      <c r="E2641" s="21"/>
      <c r="F2641" s="21"/>
      <c r="G2641" s="21"/>
      <c r="H2641" s="21"/>
      <c r="I2641" s="21"/>
      <c r="J2641" s="21"/>
      <c r="K2641" s="21"/>
      <c r="L2641" s="21"/>
      <c r="M2641" s="7"/>
      <c r="N2641" s="7"/>
      <c r="O2641" s="7"/>
      <c r="P2641" s="7"/>
      <c r="Q2641" s="7"/>
      <c r="R2641" s="7"/>
      <c r="S2641" s="7"/>
      <c r="T2641" s="7"/>
      <c r="U2641" s="7"/>
      <c r="V2641" s="7"/>
      <c r="W2641" s="7"/>
      <c r="X2641" s="7"/>
      <c r="Y2641" s="7"/>
      <c r="Z2641" s="7"/>
      <c r="AA2641" s="7"/>
      <c r="AB2641" s="7"/>
      <c r="AC2641" s="7"/>
      <c r="AD2641" s="7"/>
      <c r="AE2641" s="7"/>
    </row>
    <row r="2642">
      <c r="A2642" s="7"/>
      <c r="B2642" s="21"/>
      <c r="C2642" s="21"/>
      <c r="D2642" s="21"/>
      <c r="E2642" s="21"/>
      <c r="F2642" s="21"/>
      <c r="G2642" s="21"/>
      <c r="H2642" s="21"/>
      <c r="I2642" s="21"/>
      <c r="J2642" s="21"/>
      <c r="K2642" s="21"/>
      <c r="L2642" s="21"/>
      <c r="M2642" s="7"/>
      <c r="N2642" s="7"/>
      <c r="O2642" s="7"/>
      <c r="P2642" s="7"/>
      <c r="Q2642" s="7"/>
      <c r="R2642" s="7"/>
      <c r="S2642" s="7"/>
      <c r="T2642" s="7"/>
      <c r="U2642" s="7"/>
      <c r="V2642" s="7"/>
      <c r="W2642" s="7"/>
      <c r="X2642" s="7"/>
      <c r="Y2642" s="7"/>
      <c r="Z2642" s="7"/>
      <c r="AA2642" s="7"/>
      <c r="AB2642" s="7"/>
      <c r="AC2642" s="7"/>
      <c r="AD2642" s="7"/>
      <c r="AE2642" s="7"/>
    </row>
    <row r="2643">
      <c r="A2643" s="7"/>
      <c r="B2643" s="21"/>
      <c r="C2643" s="21"/>
      <c r="D2643" s="21"/>
      <c r="E2643" s="21"/>
      <c r="F2643" s="21"/>
      <c r="G2643" s="21"/>
      <c r="H2643" s="21"/>
      <c r="I2643" s="21"/>
      <c r="J2643" s="21"/>
      <c r="K2643" s="21"/>
      <c r="L2643" s="21"/>
      <c r="M2643" s="7"/>
      <c r="N2643" s="7"/>
      <c r="O2643" s="7"/>
      <c r="P2643" s="7"/>
      <c r="Q2643" s="7"/>
      <c r="R2643" s="7"/>
      <c r="S2643" s="7"/>
      <c r="T2643" s="7"/>
      <c r="U2643" s="7"/>
      <c r="V2643" s="7"/>
      <c r="W2643" s="7"/>
      <c r="X2643" s="7"/>
      <c r="Y2643" s="7"/>
      <c r="Z2643" s="7"/>
      <c r="AA2643" s="7"/>
      <c r="AB2643" s="7"/>
      <c r="AC2643" s="7"/>
      <c r="AD2643" s="7"/>
      <c r="AE2643" s="7"/>
    </row>
    <row r="2644">
      <c r="A2644" s="7"/>
      <c r="B2644" s="21"/>
      <c r="C2644" s="21"/>
      <c r="D2644" s="21"/>
      <c r="E2644" s="21"/>
      <c r="F2644" s="21"/>
      <c r="G2644" s="21"/>
      <c r="H2644" s="21"/>
      <c r="I2644" s="21"/>
      <c r="J2644" s="21"/>
      <c r="K2644" s="21"/>
      <c r="L2644" s="21"/>
      <c r="M2644" s="7"/>
      <c r="N2644" s="7"/>
      <c r="O2644" s="7"/>
      <c r="P2644" s="7"/>
      <c r="Q2644" s="7"/>
      <c r="R2644" s="7"/>
      <c r="S2644" s="7"/>
      <c r="T2644" s="7"/>
      <c r="U2644" s="7"/>
      <c r="V2644" s="7"/>
      <c r="W2644" s="7"/>
      <c r="X2644" s="7"/>
      <c r="Y2644" s="7"/>
      <c r="Z2644" s="7"/>
      <c r="AA2644" s="7"/>
      <c r="AB2644" s="7"/>
      <c r="AC2644" s="7"/>
      <c r="AD2644" s="7"/>
      <c r="AE2644" s="7"/>
    </row>
    <row r="2645">
      <c r="A2645" s="7"/>
      <c r="B2645" s="21"/>
      <c r="C2645" s="21"/>
      <c r="D2645" s="21"/>
      <c r="E2645" s="21"/>
      <c r="F2645" s="21"/>
      <c r="G2645" s="21"/>
      <c r="H2645" s="21"/>
      <c r="I2645" s="21"/>
      <c r="J2645" s="21"/>
      <c r="K2645" s="21"/>
      <c r="L2645" s="21"/>
      <c r="M2645" s="7"/>
      <c r="N2645" s="7"/>
      <c r="O2645" s="7"/>
      <c r="P2645" s="7"/>
      <c r="Q2645" s="7"/>
      <c r="R2645" s="7"/>
      <c r="S2645" s="7"/>
      <c r="T2645" s="7"/>
      <c r="U2645" s="7"/>
      <c r="V2645" s="7"/>
      <c r="W2645" s="7"/>
      <c r="X2645" s="7"/>
      <c r="Y2645" s="7"/>
      <c r="Z2645" s="7"/>
      <c r="AA2645" s="7"/>
      <c r="AB2645" s="7"/>
      <c r="AC2645" s="7"/>
      <c r="AD2645" s="7"/>
      <c r="AE2645" s="7"/>
    </row>
    <row r="2646">
      <c r="A2646" s="7"/>
      <c r="B2646" s="21"/>
      <c r="C2646" s="21"/>
      <c r="D2646" s="21"/>
      <c r="E2646" s="21"/>
      <c r="F2646" s="21"/>
      <c r="G2646" s="21"/>
      <c r="H2646" s="21"/>
      <c r="I2646" s="21"/>
      <c r="J2646" s="21"/>
      <c r="K2646" s="21"/>
      <c r="L2646" s="21"/>
      <c r="M2646" s="7"/>
      <c r="N2646" s="7"/>
      <c r="O2646" s="7"/>
      <c r="P2646" s="7"/>
      <c r="Q2646" s="7"/>
      <c r="R2646" s="7"/>
      <c r="S2646" s="7"/>
      <c r="T2646" s="7"/>
      <c r="U2646" s="7"/>
      <c r="V2646" s="7"/>
      <c r="W2646" s="7"/>
      <c r="X2646" s="7"/>
      <c r="Y2646" s="7"/>
      <c r="Z2646" s="7"/>
      <c r="AA2646" s="7"/>
      <c r="AB2646" s="7"/>
      <c r="AC2646" s="7"/>
      <c r="AD2646" s="7"/>
      <c r="AE2646" s="7"/>
    </row>
    <row r="2647">
      <c r="A2647" s="7"/>
      <c r="B2647" s="21"/>
      <c r="C2647" s="21"/>
      <c r="D2647" s="21"/>
      <c r="E2647" s="21"/>
      <c r="F2647" s="21"/>
      <c r="G2647" s="21"/>
      <c r="H2647" s="21"/>
      <c r="I2647" s="21"/>
      <c r="J2647" s="21"/>
      <c r="K2647" s="21"/>
      <c r="L2647" s="21"/>
      <c r="M2647" s="7"/>
      <c r="N2647" s="7"/>
      <c r="O2647" s="7"/>
      <c r="P2647" s="7"/>
      <c r="Q2647" s="7"/>
      <c r="R2647" s="7"/>
      <c r="S2647" s="7"/>
      <c r="T2647" s="7"/>
      <c r="U2647" s="7"/>
      <c r="V2647" s="7"/>
      <c r="W2647" s="7"/>
      <c r="X2647" s="7"/>
      <c r="Y2647" s="7"/>
      <c r="Z2647" s="7"/>
      <c r="AA2647" s="7"/>
      <c r="AB2647" s="7"/>
      <c r="AC2647" s="7"/>
      <c r="AD2647" s="7"/>
      <c r="AE2647" s="7"/>
    </row>
    <row r="2648">
      <c r="A2648" s="7"/>
      <c r="B2648" s="21"/>
      <c r="C2648" s="21"/>
      <c r="D2648" s="21"/>
      <c r="E2648" s="21"/>
      <c r="F2648" s="21"/>
      <c r="G2648" s="21"/>
      <c r="H2648" s="21"/>
      <c r="I2648" s="21"/>
      <c r="J2648" s="21"/>
      <c r="K2648" s="21"/>
      <c r="L2648" s="21"/>
      <c r="M2648" s="7"/>
      <c r="N2648" s="7"/>
      <c r="O2648" s="7"/>
      <c r="P2648" s="7"/>
      <c r="Q2648" s="7"/>
      <c r="R2648" s="7"/>
      <c r="S2648" s="7"/>
      <c r="T2648" s="7"/>
      <c r="U2648" s="7"/>
      <c r="V2648" s="7"/>
      <c r="W2648" s="7"/>
      <c r="X2648" s="7"/>
      <c r="Y2648" s="7"/>
      <c r="Z2648" s="7"/>
      <c r="AA2648" s="7"/>
      <c r="AB2648" s="7"/>
      <c r="AC2648" s="7"/>
      <c r="AD2648" s="7"/>
      <c r="AE2648" s="7"/>
    </row>
    <row r="2649">
      <c r="A2649" s="7"/>
      <c r="B2649" s="21"/>
      <c r="C2649" s="21"/>
      <c r="D2649" s="21"/>
      <c r="E2649" s="21"/>
      <c r="F2649" s="21"/>
      <c r="G2649" s="21"/>
      <c r="H2649" s="21"/>
      <c r="I2649" s="21"/>
      <c r="J2649" s="21"/>
      <c r="K2649" s="21"/>
      <c r="L2649" s="21"/>
      <c r="M2649" s="7"/>
      <c r="N2649" s="7"/>
      <c r="O2649" s="7"/>
      <c r="P2649" s="7"/>
      <c r="Q2649" s="7"/>
      <c r="R2649" s="7"/>
      <c r="S2649" s="7"/>
      <c r="T2649" s="7"/>
      <c r="U2649" s="7"/>
      <c r="V2649" s="7"/>
      <c r="W2649" s="7"/>
      <c r="X2649" s="7"/>
      <c r="Y2649" s="7"/>
      <c r="Z2649" s="7"/>
      <c r="AA2649" s="7"/>
      <c r="AB2649" s="7"/>
      <c r="AC2649" s="7"/>
      <c r="AD2649" s="7"/>
      <c r="AE2649" s="7"/>
    </row>
    <row r="2650">
      <c r="A2650" s="7"/>
      <c r="B2650" s="21"/>
      <c r="C2650" s="21"/>
      <c r="D2650" s="21"/>
      <c r="E2650" s="21"/>
      <c r="F2650" s="21"/>
      <c r="G2650" s="21"/>
      <c r="H2650" s="21"/>
      <c r="I2650" s="21"/>
      <c r="J2650" s="21"/>
      <c r="K2650" s="21"/>
      <c r="L2650" s="21"/>
      <c r="M2650" s="7"/>
      <c r="N2650" s="7"/>
      <c r="O2650" s="7"/>
      <c r="P2650" s="7"/>
      <c r="Q2650" s="7"/>
      <c r="R2650" s="7"/>
      <c r="S2650" s="7"/>
      <c r="T2650" s="7"/>
      <c r="U2650" s="7"/>
      <c r="V2650" s="7"/>
      <c r="W2650" s="7"/>
      <c r="X2650" s="7"/>
      <c r="Y2650" s="7"/>
      <c r="Z2650" s="7"/>
      <c r="AA2650" s="7"/>
      <c r="AB2650" s="7"/>
      <c r="AC2650" s="7"/>
      <c r="AD2650" s="7"/>
      <c r="AE2650" s="7"/>
    </row>
    <row r="2651">
      <c r="A2651" s="7"/>
      <c r="B2651" s="21"/>
      <c r="C2651" s="21"/>
      <c r="D2651" s="21"/>
      <c r="E2651" s="21"/>
      <c r="F2651" s="21"/>
      <c r="G2651" s="21"/>
      <c r="H2651" s="21"/>
      <c r="I2651" s="21"/>
      <c r="J2651" s="21"/>
      <c r="K2651" s="21"/>
      <c r="L2651" s="21"/>
      <c r="M2651" s="7"/>
      <c r="N2651" s="7"/>
      <c r="O2651" s="7"/>
      <c r="P2651" s="7"/>
      <c r="Q2651" s="7"/>
      <c r="R2651" s="7"/>
      <c r="S2651" s="7"/>
      <c r="T2651" s="7"/>
      <c r="U2651" s="7"/>
      <c r="V2651" s="7"/>
      <c r="W2651" s="7"/>
      <c r="X2651" s="7"/>
      <c r="Y2651" s="7"/>
      <c r="Z2651" s="7"/>
      <c r="AA2651" s="7"/>
      <c r="AB2651" s="7"/>
      <c r="AC2651" s="7"/>
      <c r="AD2651" s="7"/>
      <c r="AE2651" s="7"/>
    </row>
    <row r="2652">
      <c r="A2652" s="7"/>
      <c r="B2652" s="21"/>
      <c r="C2652" s="21"/>
      <c r="D2652" s="21"/>
      <c r="E2652" s="21"/>
      <c r="F2652" s="21"/>
      <c r="G2652" s="21"/>
      <c r="H2652" s="21"/>
      <c r="I2652" s="21"/>
      <c r="J2652" s="21"/>
      <c r="K2652" s="21"/>
      <c r="L2652" s="21"/>
      <c r="M2652" s="7"/>
      <c r="N2652" s="7"/>
      <c r="O2652" s="7"/>
      <c r="P2652" s="7"/>
      <c r="Q2652" s="7"/>
      <c r="R2652" s="7"/>
      <c r="S2652" s="7"/>
      <c r="T2652" s="7"/>
      <c r="U2652" s="7"/>
      <c r="V2652" s="7"/>
      <c r="W2652" s="7"/>
      <c r="X2652" s="7"/>
      <c r="Y2652" s="7"/>
      <c r="Z2652" s="7"/>
      <c r="AA2652" s="7"/>
      <c r="AB2652" s="7"/>
      <c r="AC2652" s="7"/>
      <c r="AD2652" s="7"/>
      <c r="AE2652" s="7"/>
    </row>
    <row r="2653">
      <c r="A2653" s="7"/>
      <c r="B2653" s="21"/>
      <c r="C2653" s="21"/>
      <c r="D2653" s="21"/>
      <c r="E2653" s="21"/>
      <c r="F2653" s="21"/>
      <c r="G2653" s="21"/>
      <c r="H2653" s="21"/>
      <c r="I2653" s="21"/>
      <c r="J2653" s="21"/>
      <c r="K2653" s="21"/>
      <c r="L2653" s="21"/>
      <c r="M2653" s="7"/>
      <c r="N2653" s="7"/>
      <c r="O2653" s="7"/>
      <c r="P2653" s="7"/>
      <c r="Q2653" s="7"/>
      <c r="R2653" s="7"/>
      <c r="S2653" s="7"/>
      <c r="T2653" s="7"/>
      <c r="U2653" s="7"/>
      <c r="V2653" s="7"/>
      <c r="W2653" s="7"/>
      <c r="X2653" s="7"/>
      <c r="Y2653" s="7"/>
      <c r="Z2653" s="7"/>
      <c r="AA2653" s="7"/>
      <c r="AB2653" s="7"/>
      <c r="AC2653" s="7"/>
      <c r="AD2653" s="7"/>
      <c r="AE2653" s="7"/>
    </row>
    <row r="2654">
      <c r="A2654" s="7"/>
      <c r="B2654" s="21"/>
      <c r="C2654" s="21"/>
      <c r="D2654" s="21"/>
      <c r="E2654" s="21"/>
      <c r="F2654" s="21"/>
      <c r="G2654" s="21"/>
      <c r="H2654" s="21"/>
      <c r="I2654" s="21"/>
      <c r="J2654" s="21"/>
      <c r="K2654" s="21"/>
      <c r="L2654" s="21"/>
      <c r="M2654" s="7"/>
      <c r="N2654" s="7"/>
      <c r="O2654" s="7"/>
      <c r="P2654" s="7"/>
      <c r="Q2654" s="7"/>
      <c r="R2654" s="7"/>
      <c r="S2654" s="7"/>
      <c r="T2654" s="7"/>
      <c r="U2654" s="7"/>
      <c r="V2654" s="7"/>
      <c r="W2654" s="7"/>
      <c r="X2654" s="7"/>
      <c r="Y2654" s="7"/>
      <c r="Z2654" s="7"/>
      <c r="AA2654" s="7"/>
      <c r="AB2654" s="7"/>
      <c r="AC2654" s="7"/>
      <c r="AD2654" s="7"/>
      <c r="AE2654" s="7"/>
    </row>
    <row r="2655">
      <c r="A2655" s="7"/>
      <c r="B2655" s="21"/>
      <c r="C2655" s="21"/>
      <c r="D2655" s="21"/>
      <c r="E2655" s="21"/>
      <c r="F2655" s="21"/>
      <c r="G2655" s="21"/>
      <c r="H2655" s="21"/>
      <c r="I2655" s="21"/>
      <c r="J2655" s="21"/>
      <c r="K2655" s="21"/>
      <c r="L2655" s="21"/>
      <c r="M2655" s="7"/>
      <c r="N2655" s="7"/>
      <c r="O2655" s="7"/>
      <c r="P2655" s="7"/>
      <c r="Q2655" s="7"/>
      <c r="R2655" s="7"/>
      <c r="S2655" s="7"/>
      <c r="T2655" s="7"/>
      <c r="U2655" s="7"/>
      <c r="V2655" s="7"/>
      <c r="W2655" s="7"/>
      <c r="X2655" s="7"/>
      <c r="Y2655" s="7"/>
      <c r="Z2655" s="7"/>
      <c r="AA2655" s="7"/>
      <c r="AB2655" s="7"/>
      <c r="AC2655" s="7"/>
      <c r="AD2655" s="7"/>
      <c r="AE2655" s="7"/>
    </row>
    <row r="2656">
      <c r="A2656" s="7"/>
      <c r="B2656" s="21"/>
      <c r="C2656" s="21"/>
      <c r="D2656" s="21"/>
      <c r="E2656" s="21"/>
      <c r="F2656" s="21"/>
      <c r="G2656" s="21"/>
      <c r="H2656" s="21"/>
      <c r="I2656" s="21"/>
      <c r="J2656" s="21"/>
      <c r="K2656" s="21"/>
      <c r="L2656" s="21"/>
      <c r="M2656" s="7"/>
      <c r="N2656" s="7"/>
      <c r="O2656" s="7"/>
      <c r="P2656" s="7"/>
      <c r="Q2656" s="7"/>
      <c r="R2656" s="7"/>
      <c r="S2656" s="7"/>
      <c r="T2656" s="7"/>
      <c r="U2656" s="7"/>
      <c r="V2656" s="7"/>
      <c r="W2656" s="7"/>
      <c r="X2656" s="7"/>
      <c r="Y2656" s="7"/>
      <c r="Z2656" s="7"/>
      <c r="AA2656" s="7"/>
      <c r="AB2656" s="7"/>
      <c r="AC2656" s="7"/>
      <c r="AD2656" s="7"/>
      <c r="AE2656" s="7"/>
    </row>
    <row r="2657">
      <c r="A2657" s="7"/>
      <c r="B2657" s="21"/>
      <c r="C2657" s="21"/>
      <c r="D2657" s="21"/>
      <c r="E2657" s="21"/>
      <c r="F2657" s="21"/>
      <c r="G2657" s="21"/>
      <c r="H2657" s="21"/>
      <c r="I2657" s="21"/>
      <c r="J2657" s="21"/>
      <c r="K2657" s="21"/>
      <c r="L2657" s="21"/>
      <c r="M2657" s="7"/>
      <c r="N2657" s="7"/>
      <c r="O2657" s="7"/>
      <c r="P2657" s="7"/>
      <c r="Q2657" s="7"/>
      <c r="R2657" s="7"/>
      <c r="S2657" s="7"/>
      <c r="T2657" s="7"/>
      <c r="U2657" s="7"/>
      <c r="V2657" s="7"/>
      <c r="W2657" s="7"/>
      <c r="X2657" s="7"/>
      <c r="Y2657" s="7"/>
      <c r="Z2657" s="7"/>
      <c r="AA2657" s="7"/>
      <c r="AB2657" s="7"/>
      <c r="AC2657" s="7"/>
      <c r="AD2657" s="7"/>
      <c r="AE2657" s="7"/>
    </row>
    <row r="2658">
      <c r="A2658" s="7"/>
      <c r="B2658" s="21"/>
      <c r="C2658" s="21"/>
      <c r="D2658" s="21"/>
      <c r="E2658" s="21"/>
      <c r="F2658" s="21"/>
      <c r="G2658" s="21"/>
      <c r="H2658" s="21"/>
      <c r="I2658" s="21"/>
      <c r="J2658" s="21"/>
      <c r="K2658" s="21"/>
      <c r="L2658" s="21"/>
      <c r="M2658" s="7"/>
      <c r="N2658" s="7"/>
      <c r="O2658" s="7"/>
      <c r="P2658" s="7"/>
      <c r="Q2658" s="7"/>
      <c r="R2658" s="7"/>
      <c r="S2658" s="7"/>
      <c r="T2658" s="7"/>
      <c r="U2658" s="7"/>
      <c r="V2658" s="7"/>
      <c r="W2658" s="7"/>
      <c r="X2658" s="7"/>
      <c r="Y2658" s="7"/>
      <c r="Z2658" s="7"/>
      <c r="AA2658" s="7"/>
      <c r="AB2658" s="7"/>
      <c r="AC2658" s="7"/>
      <c r="AD2658" s="7"/>
      <c r="AE2658" s="7"/>
    </row>
    <row r="2659">
      <c r="A2659" s="7"/>
      <c r="B2659" s="21"/>
      <c r="C2659" s="21"/>
      <c r="D2659" s="21"/>
      <c r="E2659" s="21"/>
      <c r="F2659" s="21"/>
      <c r="G2659" s="21"/>
      <c r="H2659" s="21"/>
      <c r="I2659" s="21"/>
      <c r="J2659" s="21"/>
      <c r="K2659" s="21"/>
      <c r="L2659" s="21"/>
      <c r="M2659" s="7"/>
      <c r="N2659" s="7"/>
      <c r="O2659" s="7"/>
      <c r="P2659" s="7"/>
      <c r="Q2659" s="7"/>
      <c r="R2659" s="7"/>
      <c r="S2659" s="7"/>
      <c r="T2659" s="7"/>
      <c r="U2659" s="7"/>
      <c r="V2659" s="7"/>
      <c r="W2659" s="7"/>
      <c r="X2659" s="7"/>
      <c r="Y2659" s="7"/>
      <c r="Z2659" s="7"/>
      <c r="AA2659" s="7"/>
      <c r="AB2659" s="7"/>
      <c r="AC2659" s="7"/>
      <c r="AD2659" s="7"/>
      <c r="AE2659" s="7"/>
    </row>
    <row r="2660">
      <c r="A2660" s="7"/>
      <c r="B2660" s="21"/>
      <c r="C2660" s="21"/>
      <c r="D2660" s="21"/>
      <c r="E2660" s="21"/>
      <c r="F2660" s="21"/>
      <c r="G2660" s="21"/>
      <c r="H2660" s="21"/>
      <c r="I2660" s="21"/>
      <c r="J2660" s="21"/>
      <c r="K2660" s="21"/>
      <c r="L2660" s="21"/>
      <c r="M2660" s="7"/>
      <c r="N2660" s="7"/>
      <c r="O2660" s="7"/>
      <c r="P2660" s="7"/>
      <c r="Q2660" s="7"/>
      <c r="R2660" s="7"/>
      <c r="S2660" s="7"/>
      <c r="T2660" s="7"/>
      <c r="U2660" s="7"/>
      <c r="V2660" s="7"/>
      <c r="W2660" s="7"/>
      <c r="X2660" s="7"/>
      <c r="Y2660" s="7"/>
      <c r="Z2660" s="7"/>
      <c r="AA2660" s="7"/>
      <c r="AB2660" s="7"/>
      <c r="AC2660" s="7"/>
      <c r="AD2660" s="7"/>
      <c r="AE2660" s="7"/>
    </row>
    <row r="2661">
      <c r="A2661" s="7"/>
      <c r="B2661" s="21"/>
      <c r="C2661" s="21"/>
      <c r="D2661" s="21"/>
      <c r="E2661" s="21"/>
      <c r="F2661" s="21"/>
      <c r="G2661" s="21"/>
      <c r="H2661" s="21"/>
      <c r="I2661" s="21"/>
      <c r="J2661" s="21"/>
      <c r="K2661" s="21"/>
      <c r="L2661" s="21"/>
      <c r="M2661" s="7"/>
      <c r="N2661" s="7"/>
      <c r="O2661" s="7"/>
      <c r="P2661" s="7"/>
      <c r="Q2661" s="7"/>
      <c r="R2661" s="7"/>
      <c r="S2661" s="7"/>
      <c r="T2661" s="7"/>
      <c r="U2661" s="7"/>
      <c r="V2661" s="7"/>
      <c r="W2661" s="7"/>
      <c r="X2661" s="7"/>
      <c r="Y2661" s="7"/>
      <c r="Z2661" s="7"/>
      <c r="AA2661" s="7"/>
      <c r="AB2661" s="7"/>
      <c r="AC2661" s="7"/>
      <c r="AD2661" s="7"/>
      <c r="AE2661" s="7"/>
    </row>
    <row r="2662">
      <c r="A2662" s="7"/>
      <c r="B2662" s="21"/>
      <c r="C2662" s="21"/>
      <c r="D2662" s="21"/>
      <c r="E2662" s="21"/>
      <c r="F2662" s="21"/>
      <c r="G2662" s="21"/>
      <c r="H2662" s="21"/>
      <c r="I2662" s="21"/>
      <c r="J2662" s="21"/>
      <c r="K2662" s="21"/>
      <c r="L2662" s="21"/>
      <c r="M2662" s="7"/>
      <c r="N2662" s="7"/>
      <c r="O2662" s="7"/>
      <c r="P2662" s="7"/>
      <c r="Q2662" s="7"/>
      <c r="R2662" s="7"/>
      <c r="S2662" s="7"/>
      <c r="T2662" s="7"/>
      <c r="U2662" s="7"/>
      <c r="V2662" s="7"/>
      <c r="W2662" s="7"/>
      <c r="X2662" s="7"/>
      <c r="Y2662" s="7"/>
      <c r="Z2662" s="7"/>
      <c r="AA2662" s="7"/>
      <c r="AB2662" s="7"/>
      <c r="AC2662" s="7"/>
      <c r="AD2662" s="7"/>
      <c r="AE2662" s="7"/>
    </row>
    <row r="2663">
      <c r="A2663" s="7"/>
      <c r="B2663" s="21"/>
      <c r="C2663" s="21"/>
      <c r="D2663" s="21"/>
      <c r="E2663" s="21"/>
      <c r="F2663" s="21"/>
      <c r="G2663" s="21"/>
      <c r="H2663" s="21"/>
      <c r="I2663" s="21"/>
      <c r="J2663" s="21"/>
      <c r="K2663" s="21"/>
      <c r="L2663" s="21"/>
      <c r="M2663" s="7"/>
      <c r="N2663" s="7"/>
      <c r="O2663" s="7"/>
      <c r="P2663" s="7"/>
      <c r="Q2663" s="7"/>
      <c r="R2663" s="7"/>
      <c r="S2663" s="7"/>
      <c r="T2663" s="7"/>
      <c r="U2663" s="7"/>
      <c r="V2663" s="7"/>
      <c r="W2663" s="7"/>
      <c r="X2663" s="7"/>
      <c r="Y2663" s="7"/>
      <c r="Z2663" s="7"/>
      <c r="AA2663" s="7"/>
      <c r="AB2663" s="7"/>
      <c r="AC2663" s="7"/>
      <c r="AD2663" s="7"/>
      <c r="AE2663" s="7"/>
    </row>
    <row r="2664">
      <c r="A2664" s="7"/>
      <c r="B2664" s="21"/>
      <c r="C2664" s="21"/>
      <c r="D2664" s="21"/>
      <c r="E2664" s="21"/>
      <c r="F2664" s="21"/>
      <c r="G2664" s="21"/>
      <c r="H2664" s="21"/>
      <c r="I2664" s="21"/>
      <c r="J2664" s="21"/>
      <c r="K2664" s="21"/>
      <c r="L2664" s="21"/>
      <c r="M2664" s="7"/>
      <c r="N2664" s="7"/>
      <c r="O2664" s="7"/>
      <c r="P2664" s="7"/>
      <c r="Q2664" s="7"/>
      <c r="R2664" s="7"/>
      <c r="S2664" s="7"/>
      <c r="T2664" s="7"/>
      <c r="U2664" s="7"/>
      <c r="V2664" s="7"/>
      <c r="W2664" s="7"/>
      <c r="X2664" s="7"/>
      <c r="Y2664" s="7"/>
      <c r="Z2664" s="7"/>
      <c r="AA2664" s="7"/>
      <c r="AB2664" s="7"/>
      <c r="AC2664" s="7"/>
      <c r="AD2664" s="7"/>
      <c r="AE2664" s="7"/>
    </row>
    <row r="2665">
      <c r="A2665" s="7"/>
      <c r="B2665" s="21"/>
      <c r="C2665" s="21"/>
      <c r="D2665" s="21"/>
      <c r="E2665" s="21"/>
      <c r="F2665" s="21"/>
      <c r="G2665" s="21"/>
      <c r="H2665" s="21"/>
      <c r="I2665" s="21"/>
      <c r="J2665" s="21"/>
      <c r="K2665" s="21"/>
      <c r="L2665" s="21"/>
      <c r="M2665" s="7"/>
      <c r="N2665" s="7"/>
      <c r="O2665" s="7"/>
      <c r="P2665" s="7"/>
      <c r="Q2665" s="7"/>
      <c r="R2665" s="7"/>
      <c r="S2665" s="7"/>
      <c r="T2665" s="7"/>
      <c r="U2665" s="7"/>
      <c r="V2665" s="7"/>
      <c r="W2665" s="7"/>
      <c r="X2665" s="7"/>
      <c r="Y2665" s="7"/>
      <c r="Z2665" s="7"/>
      <c r="AA2665" s="7"/>
      <c r="AB2665" s="7"/>
      <c r="AC2665" s="7"/>
      <c r="AD2665" s="7"/>
      <c r="AE2665" s="7"/>
    </row>
    <row r="2666">
      <c r="A2666" s="7"/>
      <c r="B2666" s="21"/>
      <c r="C2666" s="21"/>
      <c r="D2666" s="21"/>
      <c r="E2666" s="21"/>
      <c r="F2666" s="21"/>
      <c r="G2666" s="21"/>
      <c r="H2666" s="21"/>
      <c r="I2666" s="21"/>
      <c r="J2666" s="21"/>
      <c r="K2666" s="21"/>
      <c r="L2666" s="21"/>
      <c r="M2666" s="7"/>
      <c r="N2666" s="7"/>
      <c r="O2666" s="7"/>
      <c r="P2666" s="7"/>
      <c r="Q2666" s="7"/>
      <c r="R2666" s="7"/>
      <c r="S2666" s="7"/>
      <c r="T2666" s="7"/>
      <c r="U2666" s="7"/>
      <c r="V2666" s="7"/>
      <c r="W2666" s="7"/>
      <c r="X2666" s="7"/>
      <c r="Y2666" s="7"/>
      <c r="Z2666" s="7"/>
      <c r="AA2666" s="7"/>
      <c r="AB2666" s="7"/>
      <c r="AC2666" s="7"/>
      <c r="AD2666" s="7"/>
      <c r="AE2666" s="7"/>
    </row>
    <row r="2667">
      <c r="A2667" s="7"/>
      <c r="B2667" s="21"/>
      <c r="C2667" s="21"/>
      <c r="D2667" s="21"/>
      <c r="E2667" s="21"/>
      <c r="F2667" s="21"/>
      <c r="G2667" s="21"/>
      <c r="H2667" s="21"/>
      <c r="I2667" s="21"/>
      <c r="J2667" s="21"/>
      <c r="K2667" s="21"/>
      <c r="L2667" s="21"/>
      <c r="M2667" s="7"/>
      <c r="N2667" s="7"/>
      <c r="O2667" s="7"/>
      <c r="P2667" s="7"/>
      <c r="Q2667" s="7"/>
      <c r="R2667" s="7"/>
      <c r="S2667" s="7"/>
      <c r="T2667" s="7"/>
      <c r="U2667" s="7"/>
      <c r="V2667" s="7"/>
      <c r="W2667" s="7"/>
      <c r="X2667" s="7"/>
      <c r="Y2667" s="7"/>
      <c r="Z2667" s="7"/>
      <c r="AA2667" s="7"/>
      <c r="AB2667" s="7"/>
      <c r="AC2667" s="7"/>
      <c r="AD2667" s="7"/>
      <c r="AE2667" s="7"/>
    </row>
    <row r="2668">
      <c r="A2668" s="7"/>
      <c r="B2668" s="21"/>
      <c r="C2668" s="21"/>
      <c r="D2668" s="21"/>
      <c r="E2668" s="21"/>
      <c r="F2668" s="21"/>
      <c r="G2668" s="21"/>
      <c r="H2668" s="21"/>
      <c r="I2668" s="21"/>
      <c r="J2668" s="21"/>
      <c r="K2668" s="21"/>
      <c r="L2668" s="21"/>
      <c r="M2668" s="7"/>
      <c r="N2668" s="7"/>
      <c r="O2668" s="7"/>
      <c r="P2668" s="7"/>
      <c r="Q2668" s="7"/>
      <c r="R2668" s="7"/>
      <c r="S2668" s="7"/>
      <c r="T2668" s="7"/>
      <c r="U2668" s="7"/>
      <c r="V2668" s="7"/>
      <c r="W2668" s="7"/>
      <c r="X2668" s="7"/>
      <c r="Y2668" s="7"/>
      <c r="Z2668" s="7"/>
      <c r="AA2668" s="7"/>
      <c r="AB2668" s="7"/>
      <c r="AC2668" s="7"/>
      <c r="AD2668" s="7"/>
      <c r="AE2668" s="7"/>
    </row>
    <row r="2669">
      <c r="A2669" s="7"/>
      <c r="B2669" s="21"/>
      <c r="C2669" s="21"/>
      <c r="D2669" s="21"/>
      <c r="E2669" s="21"/>
      <c r="F2669" s="21"/>
      <c r="G2669" s="21"/>
      <c r="H2669" s="21"/>
      <c r="I2669" s="21"/>
      <c r="J2669" s="21"/>
      <c r="K2669" s="21"/>
      <c r="L2669" s="21"/>
      <c r="M2669" s="7"/>
      <c r="N2669" s="7"/>
      <c r="O2669" s="7"/>
      <c r="P2669" s="7"/>
      <c r="Q2669" s="7"/>
      <c r="R2669" s="7"/>
      <c r="S2669" s="7"/>
      <c r="T2669" s="7"/>
      <c r="U2669" s="7"/>
      <c r="V2669" s="7"/>
      <c r="W2669" s="7"/>
      <c r="X2669" s="7"/>
      <c r="Y2669" s="7"/>
      <c r="Z2669" s="7"/>
      <c r="AA2669" s="7"/>
      <c r="AB2669" s="7"/>
      <c r="AC2669" s="7"/>
      <c r="AD2669" s="7"/>
      <c r="AE2669" s="7"/>
    </row>
    <row r="2670">
      <c r="A2670" s="7"/>
      <c r="B2670" s="21"/>
      <c r="C2670" s="21"/>
      <c r="D2670" s="21"/>
      <c r="E2670" s="21"/>
      <c r="F2670" s="21"/>
      <c r="G2670" s="21"/>
      <c r="H2670" s="21"/>
      <c r="I2670" s="21"/>
      <c r="J2670" s="21"/>
      <c r="K2670" s="21"/>
      <c r="L2670" s="21"/>
      <c r="M2670" s="7"/>
      <c r="N2670" s="7"/>
      <c r="O2670" s="7"/>
      <c r="P2670" s="7"/>
      <c r="Q2670" s="7"/>
      <c r="R2670" s="7"/>
      <c r="S2670" s="7"/>
      <c r="T2670" s="7"/>
      <c r="U2670" s="7"/>
      <c r="V2670" s="7"/>
      <c r="W2670" s="7"/>
      <c r="X2670" s="7"/>
      <c r="Y2670" s="7"/>
      <c r="Z2670" s="7"/>
      <c r="AA2670" s="7"/>
      <c r="AB2670" s="7"/>
      <c r="AC2670" s="7"/>
      <c r="AD2670" s="7"/>
      <c r="AE2670" s="7"/>
    </row>
    <row r="2671">
      <c r="A2671" s="7"/>
      <c r="B2671" s="21"/>
      <c r="C2671" s="21"/>
      <c r="D2671" s="21"/>
      <c r="E2671" s="21"/>
      <c r="F2671" s="21"/>
      <c r="G2671" s="21"/>
      <c r="H2671" s="21"/>
      <c r="I2671" s="21"/>
      <c r="J2671" s="21"/>
      <c r="K2671" s="21"/>
      <c r="L2671" s="21"/>
      <c r="M2671" s="7"/>
      <c r="N2671" s="7"/>
      <c r="O2671" s="7"/>
      <c r="P2671" s="7"/>
      <c r="Q2671" s="7"/>
      <c r="R2671" s="7"/>
      <c r="S2671" s="7"/>
      <c r="T2671" s="7"/>
      <c r="U2671" s="7"/>
      <c r="V2671" s="7"/>
      <c r="W2671" s="7"/>
      <c r="X2671" s="7"/>
      <c r="Y2671" s="7"/>
      <c r="Z2671" s="7"/>
      <c r="AA2671" s="7"/>
      <c r="AB2671" s="7"/>
      <c r="AC2671" s="7"/>
      <c r="AD2671" s="7"/>
      <c r="AE2671" s="7"/>
    </row>
    <row r="2672">
      <c r="A2672" s="7"/>
      <c r="B2672" s="21"/>
      <c r="C2672" s="21"/>
      <c r="D2672" s="21"/>
      <c r="E2672" s="21"/>
      <c r="F2672" s="21"/>
      <c r="G2672" s="21"/>
      <c r="H2672" s="21"/>
      <c r="I2672" s="21"/>
      <c r="J2672" s="21"/>
      <c r="K2672" s="21"/>
      <c r="L2672" s="21"/>
      <c r="M2672" s="7"/>
      <c r="N2672" s="7"/>
      <c r="O2672" s="7"/>
      <c r="P2672" s="7"/>
      <c r="Q2672" s="7"/>
      <c r="R2672" s="7"/>
      <c r="S2672" s="7"/>
      <c r="T2672" s="7"/>
      <c r="U2672" s="7"/>
      <c r="V2672" s="7"/>
      <c r="W2672" s="7"/>
      <c r="X2672" s="7"/>
      <c r="Y2672" s="7"/>
      <c r="Z2672" s="7"/>
      <c r="AA2672" s="7"/>
      <c r="AB2672" s="7"/>
      <c r="AC2672" s="7"/>
      <c r="AD2672" s="7"/>
      <c r="AE2672" s="7"/>
    </row>
    <row r="2673">
      <c r="A2673" s="7"/>
      <c r="B2673" s="21"/>
      <c r="C2673" s="21"/>
      <c r="D2673" s="21"/>
      <c r="E2673" s="21"/>
      <c r="F2673" s="21"/>
      <c r="G2673" s="21"/>
      <c r="H2673" s="21"/>
      <c r="I2673" s="21"/>
      <c r="J2673" s="21"/>
      <c r="K2673" s="21"/>
      <c r="L2673" s="21"/>
      <c r="M2673" s="7"/>
      <c r="N2673" s="7"/>
      <c r="O2673" s="7"/>
      <c r="P2673" s="7"/>
      <c r="Q2673" s="7"/>
      <c r="R2673" s="7"/>
      <c r="S2673" s="7"/>
      <c r="T2673" s="7"/>
      <c r="U2673" s="7"/>
      <c r="V2673" s="7"/>
      <c r="W2673" s="7"/>
      <c r="X2673" s="7"/>
      <c r="Y2673" s="7"/>
      <c r="Z2673" s="7"/>
      <c r="AA2673" s="7"/>
      <c r="AB2673" s="7"/>
      <c r="AC2673" s="7"/>
      <c r="AD2673" s="7"/>
      <c r="AE2673" s="7"/>
    </row>
    <row r="2674">
      <c r="A2674" s="7"/>
      <c r="B2674" s="21"/>
      <c r="C2674" s="21"/>
      <c r="D2674" s="21"/>
      <c r="E2674" s="21"/>
      <c r="F2674" s="21"/>
      <c r="G2674" s="21"/>
      <c r="H2674" s="21"/>
      <c r="I2674" s="21"/>
      <c r="J2674" s="21"/>
      <c r="K2674" s="21"/>
      <c r="L2674" s="21"/>
      <c r="M2674" s="7"/>
      <c r="N2674" s="7"/>
      <c r="O2674" s="7"/>
      <c r="P2674" s="7"/>
      <c r="Q2674" s="7"/>
      <c r="R2674" s="7"/>
      <c r="S2674" s="7"/>
      <c r="T2674" s="7"/>
      <c r="U2674" s="7"/>
      <c r="V2674" s="7"/>
      <c r="W2674" s="7"/>
      <c r="X2674" s="7"/>
      <c r="Y2674" s="7"/>
      <c r="Z2674" s="7"/>
      <c r="AA2674" s="7"/>
      <c r="AB2674" s="7"/>
      <c r="AC2674" s="7"/>
      <c r="AD2674" s="7"/>
      <c r="AE2674" s="7"/>
    </row>
    <row r="2675">
      <c r="A2675" s="7"/>
      <c r="B2675" s="21"/>
      <c r="C2675" s="21"/>
      <c r="D2675" s="21"/>
      <c r="E2675" s="21"/>
      <c r="F2675" s="21"/>
      <c r="G2675" s="21"/>
      <c r="H2675" s="21"/>
      <c r="I2675" s="21"/>
      <c r="J2675" s="21"/>
      <c r="K2675" s="21"/>
      <c r="L2675" s="21"/>
      <c r="M2675" s="7"/>
      <c r="N2675" s="7"/>
      <c r="O2675" s="7"/>
      <c r="P2675" s="7"/>
      <c r="Q2675" s="7"/>
      <c r="R2675" s="7"/>
      <c r="S2675" s="7"/>
      <c r="T2675" s="7"/>
      <c r="U2675" s="7"/>
      <c r="V2675" s="7"/>
      <c r="W2675" s="7"/>
      <c r="X2675" s="7"/>
      <c r="Y2675" s="7"/>
      <c r="Z2675" s="7"/>
      <c r="AA2675" s="7"/>
      <c r="AB2675" s="7"/>
      <c r="AC2675" s="7"/>
      <c r="AD2675" s="7"/>
      <c r="AE2675" s="7"/>
    </row>
    <row r="2676">
      <c r="A2676" s="7"/>
      <c r="B2676" s="21"/>
      <c r="C2676" s="21"/>
      <c r="D2676" s="21"/>
      <c r="E2676" s="21"/>
      <c r="F2676" s="21"/>
      <c r="G2676" s="21"/>
      <c r="H2676" s="21"/>
      <c r="I2676" s="21"/>
      <c r="J2676" s="21"/>
      <c r="K2676" s="21"/>
      <c r="L2676" s="21"/>
      <c r="M2676" s="7"/>
      <c r="N2676" s="7"/>
      <c r="O2676" s="7"/>
      <c r="P2676" s="7"/>
      <c r="Q2676" s="7"/>
      <c r="R2676" s="7"/>
      <c r="S2676" s="7"/>
      <c r="T2676" s="7"/>
      <c r="U2676" s="7"/>
      <c r="V2676" s="7"/>
      <c r="W2676" s="7"/>
      <c r="X2676" s="7"/>
      <c r="Y2676" s="7"/>
      <c r="Z2676" s="7"/>
      <c r="AA2676" s="7"/>
      <c r="AB2676" s="7"/>
      <c r="AC2676" s="7"/>
      <c r="AD2676" s="7"/>
      <c r="AE2676" s="7"/>
    </row>
    <row r="2677">
      <c r="A2677" s="7"/>
      <c r="B2677" s="21"/>
      <c r="C2677" s="21"/>
      <c r="D2677" s="21"/>
      <c r="E2677" s="21"/>
      <c r="F2677" s="21"/>
      <c r="G2677" s="21"/>
      <c r="H2677" s="21"/>
      <c r="I2677" s="21"/>
      <c r="J2677" s="21"/>
      <c r="K2677" s="21"/>
      <c r="L2677" s="21"/>
      <c r="M2677" s="7"/>
      <c r="N2677" s="7"/>
      <c r="O2677" s="7"/>
      <c r="P2677" s="7"/>
      <c r="Q2677" s="7"/>
      <c r="R2677" s="7"/>
      <c r="S2677" s="7"/>
      <c r="T2677" s="7"/>
      <c r="U2677" s="7"/>
      <c r="V2677" s="7"/>
      <c r="W2677" s="7"/>
      <c r="X2677" s="7"/>
      <c r="Y2677" s="7"/>
      <c r="Z2677" s="7"/>
      <c r="AA2677" s="7"/>
      <c r="AB2677" s="7"/>
      <c r="AC2677" s="7"/>
      <c r="AD2677" s="7"/>
      <c r="AE2677" s="7"/>
    </row>
    <row r="2678">
      <c r="A2678" s="7"/>
      <c r="B2678" s="21"/>
      <c r="C2678" s="21"/>
      <c r="D2678" s="21"/>
      <c r="E2678" s="21"/>
      <c r="F2678" s="21"/>
      <c r="G2678" s="21"/>
      <c r="H2678" s="21"/>
      <c r="I2678" s="21"/>
      <c r="J2678" s="21"/>
      <c r="K2678" s="21"/>
      <c r="L2678" s="21"/>
      <c r="M2678" s="7"/>
      <c r="N2678" s="7"/>
      <c r="O2678" s="7"/>
      <c r="P2678" s="7"/>
      <c r="Q2678" s="7"/>
      <c r="R2678" s="7"/>
      <c r="S2678" s="7"/>
      <c r="T2678" s="7"/>
      <c r="U2678" s="7"/>
      <c r="V2678" s="7"/>
      <c r="W2678" s="7"/>
      <c r="X2678" s="7"/>
      <c r="Y2678" s="7"/>
      <c r="Z2678" s="7"/>
      <c r="AA2678" s="7"/>
      <c r="AB2678" s="7"/>
      <c r="AC2678" s="7"/>
      <c r="AD2678" s="7"/>
      <c r="AE2678" s="7"/>
    </row>
    <row r="2679">
      <c r="A2679" s="7"/>
      <c r="B2679" s="21"/>
      <c r="C2679" s="21"/>
      <c r="D2679" s="21"/>
      <c r="E2679" s="21"/>
      <c r="F2679" s="21"/>
      <c r="G2679" s="21"/>
      <c r="H2679" s="21"/>
      <c r="I2679" s="21"/>
      <c r="J2679" s="21"/>
      <c r="K2679" s="21"/>
      <c r="L2679" s="21"/>
      <c r="M2679" s="7"/>
      <c r="N2679" s="7"/>
      <c r="O2679" s="7"/>
      <c r="P2679" s="7"/>
      <c r="Q2679" s="7"/>
      <c r="R2679" s="7"/>
      <c r="S2679" s="7"/>
      <c r="T2679" s="7"/>
      <c r="U2679" s="7"/>
      <c r="V2679" s="7"/>
      <c r="W2679" s="7"/>
      <c r="X2679" s="7"/>
      <c r="Y2679" s="7"/>
      <c r="Z2679" s="7"/>
      <c r="AA2679" s="7"/>
      <c r="AB2679" s="7"/>
      <c r="AC2679" s="7"/>
      <c r="AD2679" s="7"/>
      <c r="AE2679" s="7"/>
    </row>
    <row r="2680">
      <c r="A2680" s="7"/>
      <c r="B2680" s="21"/>
      <c r="C2680" s="21"/>
      <c r="D2680" s="21"/>
      <c r="E2680" s="21"/>
      <c r="F2680" s="21"/>
      <c r="G2680" s="21"/>
      <c r="H2680" s="21"/>
      <c r="I2680" s="21"/>
      <c r="J2680" s="21"/>
      <c r="K2680" s="21"/>
      <c r="L2680" s="21"/>
      <c r="M2680" s="7"/>
      <c r="N2680" s="7"/>
      <c r="O2680" s="7"/>
      <c r="P2680" s="7"/>
      <c r="Q2680" s="7"/>
      <c r="R2680" s="7"/>
      <c r="S2680" s="7"/>
      <c r="T2680" s="7"/>
      <c r="U2680" s="7"/>
      <c r="V2680" s="7"/>
      <c r="W2680" s="7"/>
      <c r="X2680" s="7"/>
      <c r="Y2680" s="7"/>
      <c r="Z2680" s="7"/>
      <c r="AA2680" s="7"/>
      <c r="AB2680" s="7"/>
      <c r="AC2680" s="7"/>
      <c r="AD2680" s="7"/>
      <c r="AE2680" s="7"/>
    </row>
    <row r="2681">
      <c r="A2681" s="7"/>
      <c r="B2681" s="21"/>
      <c r="C2681" s="21"/>
      <c r="D2681" s="21"/>
      <c r="E2681" s="21"/>
      <c r="F2681" s="21"/>
      <c r="G2681" s="21"/>
      <c r="H2681" s="21"/>
      <c r="I2681" s="21"/>
      <c r="J2681" s="21"/>
      <c r="K2681" s="21"/>
      <c r="L2681" s="21"/>
      <c r="M2681" s="7"/>
      <c r="N2681" s="7"/>
      <c r="O2681" s="7"/>
      <c r="P2681" s="7"/>
      <c r="Q2681" s="7"/>
      <c r="R2681" s="7"/>
      <c r="S2681" s="7"/>
      <c r="T2681" s="7"/>
      <c r="U2681" s="7"/>
      <c r="V2681" s="7"/>
      <c r="W2681" s="7"/>
      <c r="X2681" s="7"/>
      <c r="Y2681" s="7"/>
      <c r="Z2681" s="7"/>
      <c r="AA2681" s="7"/>
      <c r="AB2681" s="7"/>
      <c r="AC2681" s="7"/>
      <c r="AD2681" s="7"/>
      <c r="AE2681" s="7"/>
    </row>
    <row r="2682">
      <c r="A2682" s="7"/>
      <c r="B2682" s="21"/>
      <c r="C2682" s="21"/>
      <c r="D2682" s="21"/>
      <c r="E2682" s="21"/>
      <c r="F2682" s="21"/>
      <c r="G2682" s="21"/>
      <c r="H2682" s="21"/>
      <c r="I2682" s="21"/>
      <c r="J2682" s="21"/>
      <c r="K2682" s="21"/>
      <c r="L2682" s="21"/>
      <c r="M2682" s="7"/>
      <c r="N2682" s="7"/>
      <c r="O2682" s="7"/>
      <c r="P2682" s="7"/>
      <c r="Q2682" s="7"/>
      <c r="R2682" s="7"/>
      <c r="S2682" s="7"/>
      <c r="T2682" s="7"/>
      <c r="U2682" s="7"/>
      <c r="V2682" s="7"/>
      <c r="W2682" s="7"/>
      <c r="X2682" s="7"/>
      <c r="Y2682" s="7"/>
      <c r="Z2682" s="7"/>
      <c r="AA2682" s="7"/>
      <c r="AB2682" s="7"/>
      <c r="AC2682" s="7"/>
      <c r="AD2682" s="7"/>
      <c r="AE2682" s="7"/>
    </row>
    <row r="2683">
      <c r="A2683" s="7"/>
      <c r="B2683" s="21"/>
      <c r="C2683" s="21"/>
      <c r="D2683" s="21"/>
      <c r="E2683" s="21"/>
      <c r="F2683" s="21"/>
      <c r="G2683" s="21"/>
      <c r="H2683" s="21"/>
      <c r="I2683" s="21"/>
      <c r="J2683" s="21"/>
      <c r="K2683" s="21"/>
      <c r="L2683" s="21"/>
      <c r="M2683" s="7"/>
      <c r="N2683" s="7"/>
      <c r="O2683" s="7"/>
      <c r="P2683" s="7"/>
      <c r="Q2683" s="7"/>
      <c r="R2683" s="7"/>
      <c r="S2683" s="7"/>
      <c r="T2683" s="7"/>
      <c r="U2683" s="7"/>
      <c r="V2683" s="7"/>
      <c r="W2683" s="7"/>
      <c r="X2683" s="7"/>
      <c r="Y2683" s="7"/>
      <c r="Z2683" s="7"/>
      <c r="AA2683" s="7"/>
      <c r="AB2683" s="7"/>
      <c r="AC2683" s="7"/>
      <c r="AD2683" s="7"/>
      <c r="AE2683" s="7"/>
    </row>
    <row r="2684">
      <c r="A2684" s="7"/>
      <c r="B2684" s="21"/>
      <c r="C2684" s="21"/>
      <c r="D2684" s="21"/>
      <c r="E2684" s="21"/>
      <c r="F2684" s="21"/>
      <c r="G2684" s="21"/>
      <c r="H2684" s="21"/>
      <c r="I2684" s="21"/>
      <c r="J2684" s="21"/>
      <c r="K2684" s="21"/>
      <c r="L2684" s="21"/>
      <c r="M2684" s="7"/>
      <c r="N2684" s="7"/>
      <c r="O2684" s="7"/>
      <c r="P2684" s="7"/>
      <c r="Q2684" s="7"/>
      <c r="R2684" s="7"/>
      <c r="S2684" s="7"/>
      <c r="T2684" s="7"/>
      <c r="U2684" s="7"/>
      <c r="V2684" s="7"/>
      <c r="W2684" s="7"/>
      <c r="X2684" s="7"/>
      <c r="Y2684" s="7"/>
      <c r="Z2684" s="7"/>
      <c r="AA2684" s="7"/>
      <c r="AB2684" s="7"/>
      <c r="AC2684" s="7"/>
      <c r="AD2684" s="7"/>
      <c r="AE2684" s="7"/>
    </row>
    <row r="2685">
      <c r="A2685" s="7"/>
      <c r="B2685" s="21"/>
      <c r="C2685" s="21"/>
      <c r="D2685" s="21"/>
      <c r="E2685" s="21"/>
      <c r="F2685" s="21"/>
      <c r="G2685" s="21"/>
      <c r="H2685" s="21"/>
      <c r="I2685" s="21"/>
      <c r="J2685" s="21"/>
      <c r="K2685" s="21"/>
      <c r="L2685" s="21"/>
      <c r="M2685" s="7"/>
      <c r="N2685" s="7"/>
      <c r="O2685" s="7"/>
      <c r="P2685" s="7"/>
      <c r="Q2685" s="7"/>
      <c r="R2685" s="7"/>
      <c r="S2685" s="7"/>
      <c r="T2685" s="7"/>
      <c r="U2685" s="7"/>
      <c r="V2685" s="7"/>
      <c r="W2685" s="7"/>
      <c r="X2685" s="7"/>
      <c r="Y2685" s="7"/>
      <c r="Z2685" s="7"/>
      <c r="AA2685" s="7"/>
      <c r="AB2685" s="7"/>
      <c r="AC2685" s="7"/>
      <c r="AD2685" s="7"/>
      <c r="AE2685" s="7"/>
    </row>
    <row r="2686">
      <c r="A2686" s="7"/>
      <c r="B2686" s="21"/>
      <c r="C2686" s="21"/>
      <c r="D2686" s="21"/>
      <c r="E2686" s="21"/>
      <c r="F2686" s="21"/>
      <c r="G2686" s="21"/>
      <c r="H2686" s="21"/>
      <c r="I2686" s="21"/>
      <c r="J2686" s="21"/>
      <c r="K2686" s="21"/>
      <c r="L2686" s="21"/>
      <c r="M2686" s="7"/>
      <c r="N2686" s="7"/>
      <c r="O2686" s="7"/>
      <c r="P2686" s="7"/>
      <c r="Q2686" s="7"/>
      <c r="R2686" s="7"/>
      <c r="S2686" s="7"/>
      <c r="T2686" s="7"/>
      <c r="U2686" s="7"/>
      <c r="V2686" s="7"/>
      <c r="W2686" s="7"/>
      <c r="X2686" s="7"/>
      <c r="Y2686" s="7"/>
      <c r="Z2686" s="7"/>
      <c r="AA2686" s="7"/>
      <c r="AB2686" s="7"/>
      <c r="AC2686" s="7"/>
      <c r="AD2686" s="7"/>
      <c r="AE2686" s="7"/>
    </row>
    <row r="2687">
      <c r="A2687" s="7"/>
      <c r="B2687" s="21"/>
      <c r="C2687" s="21"/>
      <c r="D2687" s="21"/>
      <c r="E2687" s="21"/>
      <c r="F2687" s="21"/>
      <c r="G2687" s="21"/>
      <c r="H2687" s="21"/>
      <c r="I2687" s="21"/>
      <c r="J2687" s="21"/>
      <c r="K2687" s="21"/>
      <c r="L2687" s="21"/>
      <c r="M2687" s="7"/>
      <c r="N2687" s="7"/>
      <c r="O2687" s="7"/>
      <c r="P2687" s="7"/>
      <c r="Q2687" s="7"/>
      <c r="R2687" s="7"/>
      <c r="S2687" s="7"/>
      <c r="T2687" s="7"/>
      <c r="U2687" s="7"/>
      <c r="V2687" s="7"/>
      <c r="W2687" s="7"/>
      <c r="X2687" s="7"/>
      <c r="Y2687" s="7"/>
      <c r="Z2687" s="7"/>
      <c r="AA2687" s="7"/>
      <c r="AB2687" s="7"/>
      <c r="AC2687" s="7"/>
      <c r="AD2687" s="7"/>
      <c r="AE2687" s="7"/>
    </row>
    <row r="2688">
      <c r="A2688" s="7"/>
      <c r="B2688" s="21"/>
      <c r="C2688" s="21"/>
      <c r="D2688" s="21"/>
      <c r="E2688" s="21"/>
      <c r="F2688" s="21"/>
      <c r="G2688" s="21"/>
      <c r="H2688" s="21"/>
      <c r="I2688" s="21"/>
      <c r="J2688" s="21"/>
      <c r="K2688" s="21"/>
      <c r="L2688" s="21"/>
      <c r="M2688" s="7"/>
      <c r="N2688" s="7"/>
      <c r="O2688" s="7"/>
      <c r="P2688" s="7"/>
      <c r="Q2688" s="7"/>
      <c r="R2688" s="7"/>
      <c r="S2688" s="7"/>
      <c r="T2688" s="7"/>
      <c r="U2688" s="7"/>
      <c r="V2688" s="7"/>
      <c r="W2688" s="7"/>
      <c r="X2688" s="7"/>
      <c r="Y2688" s="7"/>
      <c r="Z2688" s="7"/>
      <c r="AA2688" s="7"/>
      <c r="AB2688" s="7"/>
      <c r="AC2688" s="7"/>
      <c r="AD2688" s="7"/>
      <c r="AE2688" s="7"/>
    </row>
    <row r="2689">
      <c r="A2689" s="7"/>
      <c r="B2689" s="21"/>
      <c r="C2689" s="21"/>
      <c r="D2689" s="21"/>
      <c r="E2689" s="21"/>
      <c r="F2689" s="21"/>
      <c r="G2689" s="21"/>
      <c r="H2689" s="21"/>
      <c r="I2689" s="21"/>
      <c r="J2689" s="21"/>
      <c r="K2689" s="21"/>
      <c r="L2689" s="21"/>
      <c r="M2689" s="7"/>
      <c r="N2689" s="7"/>
      <c r="O2689" s="7"/>
      <c r="P2689" s="7"/>
      <c r="Q2689" s="7"/>
      <c r="R2689" s="7"/>
      <c r="S2689" s="7"/>
      <c r="T2689" s="7"/>
      <c r="U2689" s="7"/>
      <c r="V2689" s="7"/>
      <c r="W2689" s="7"/>
      <c r="X2689" s="7"/>
      <c r="Y2689" s="7"/>
      <c r="Z2689" s="7"/>
      <c r="AA2689" s="7"/>
      <c r="AB2689" s="7"/>
      <c r="AC2689" s="7"/>
      <c r="AD2689" s="7"/>
      <c r="AE2689" s="7"/>
    </row>
    <row r="2690">
      <c r="A2690" s="7"/>
      <c r="B2690" s="21"/>
      <c r="C2690" s="21"/>
      <c r="D2690" s="21"/>
      <c r="E2690" s="21"/>
      <c r="F2690" s="21"/>
      <c r="G2690" s="21"/>
      <c r="H2690" s="21"/>
      <c r="I2690" s="21"/>
      <c r="J2690" s="21"/>
      <c r="K2690" s="21"/>
      <c r="L2690" s="21"/>
      <c r="M2690" s="7"/>
      <c r="N2690" s="7"/>
      <c r="O2690" s="7"/>
      <c r="P2690" s="7"/>
      <c r="Q2690" s="7"/>
      <c r="R2690" s="7"/>
      <c r="S2690" s="7"/>
      <c r="T2690" s="7"/>
      <c r="U2690" s="7"/>
      <c r="V2690" s="7"/>
      <c r="W2690" s="7"/>
      <c r="X2690" s="7"/>
      <c r="Y2690" s="7"/>
      <c r="Z2690" s="7"/>
      <c r="AA2690" s="7"/>
      <c r="AB2690" s="7"/>
      <c r="AC2690" s="7"/>
      <c r="AD2690" s="7"/>
      <c r="AE2690" s="7"/>
    </row>
    <row r="2691">
      <c r="A2691" s="7"/>
      <c r="B2691" s="21"/>
      <c r="C2691" s="21"/>
      <c r="D2691" s="21"/>
      <c r="E2691" s="21"/>
      <c r="F2691" s="21"/>
      <c r="G2691" s="21"/>
      <c r="H2691" s="21"/>
      <c r="I2691" s="21"/>
      <c r="J2691" s="21"/>
      <c r="K2691" s="21"/>
      <c r="L2691" s="21"/>
      <c r="M2691" s="7"/>
      <c r="N2691" s="7"/>
      <c r="O2691" s="7"/>
      <c r="P2691" s="7"/>
      <c r="Q2691" s="7"/>
      <c r="R2691" s="7"/>
      <c r="S2691" s="7"/>
      <c r="T2691" s="7"/>
      <c r="U2691" s="7"/>
      <c r="V2691" s="7"/>
      <c r="W2691" s="7"/>
      <c r="X2691" s="7"/>
      <c r="Y2691" s="7"/>
      <c r="Z2691" s="7"/>
      <c r="AA2691" s="7"/>
      <c r="AB2691" s="7"/>
      <c r="AC2691" s="7"/>
      <c r="AD2691" s="7"/>
      <c r="AE2691" s="7"/>
    </row>
    <row r="2692">
      <c r="A2692" s="7"/>
      <c r="B2692" s="21"/>
      <c r="C2692" s="21"/>
      <c r="D2692" s="21"/>
      <c r="E2692" s="21"/>
      <c r="F2692" s="21"/>
      <c r="G2692" s="21"/>
      <c r="H2692" s="21"/>
      <c r="I2692" s="21"/>
      <c r="J2692" s="21"/>
      <c r="K2692" s="21"/>
      <c r="L2692" s="21"/>
      <c r="M2692" s="7"/>
      <c r="N2692" s="7"/>
      <c r="O2692" s="7"/>
      <c r="P2692" s="7"/>
      <c r="Q2692" s="7"/>
      <c r="R2692" s="7"/>
      <c r="S2692" s="7"/>
      <c r="T2692" s="7"/>
      <c r="U2692" s="7"/>
      <c r="V2692" s="7"/>
      <c r="W2692" s="7"/>
      <c r="X2692" s="7"/>
      <c r="Y2692" s="7"/>
      <c r="Z2692" s="7"/>
      <c r="AA2692" s="7"/>
      <c r="AB2692" s="7"/>
      <c r="AC2692" s="7"/>
      <c r="AD2692" s="7"/>
      <c r="AE2692" s="7"/>
    </row>
    <row r="2693">
      <c r="A2693" s="7"/>
      <c r="B2693" s="21"/>
      <c r="C2693" s="21"/>
      <c r="D2693" s="21"/>
      <c r="E2693" s="21"/>
      <c r="F2693" s="21"/>
      <c r="G2693" s="21"/>
      <c r="H2693" s="21"/>
      <c r="I2693" s="21"/>
      <c r="J2693" s="21"/>
      <c r="K2693" s="21"/>
      <c r="L2693" s="21"/>
      <c r="M2693" s="7"/>
      <c r="N2693" s="7"/>
      <c r="O2693" s="7"/>
      <c r="P2693" s="7"/>
      <c r="Q2693" s="7"/>
      <c r="R2693" s="7"/>
      <c r="S2693" s="7"/>
      <c r="T2693" s="7"/>
      <c r="U2693" s="7"/>
      <c r="V2693" s="7"/>
      <c r="W2693" s="7"/>
      <c r="X2693" s="7"/>
      <c r="Y2693" s="7"/>
      <c r="Z2693" s="7"/>
      <c r="AA2693" s="7"/>
      <c r="AB2693" s="7"/>
      <c r="AC2693" s="7"/>
      <c r="AD2693" s="7"/>
      <c r="AE2693" s="7"/>
    </row>
    <row r="2694">
      <c r="A2694" s="7"/>
      <c r="B2694" s="21"/>
      <c r="C2694" s="21"/>
      <c r="D2694" s="21"/>
      <c r="E2694" s="21"/>
      <c r="F2694" s="21"/>
      <c r="G2694" s="21"/>
      <c r="H2694" s="21"/>
      <c r="I2694" s="21"/>
      <c r="J2694" s="21"/>
      <c r="K2694" s="21"/>
      <c r="L2694" s="21"/>
      <c r="M2694" s="7"/>
      <c r="N2694" s="7"/>
      <c r="O2694" s="7"/>
      <c r="P2694" s="7"/>
      <c r="Q2694" s="7"/>
      <c r="R2694" s="7"/>
      <c r="S2694" s="7"/>
      <c r="T2694" s="7"/>
      <c r="U2694" s="7"/>
      <c r="V2694" s="7"/>
      <c r="W2694" s="7"/>
      <c r="X2694" s="7"/>
      <c r="Y2694" s="7"/>
      <c r="Z2694" s="7"/>
      <c r="AA2694" s="7"/>
      <c r="AB2694" s="7"/>
      <c r="AC2694" s="7"/>
      <c r="AD2694" s="7"/>
      <c r="AE2694" s="7"/>
    </row>
    <row r="2695">
      <c r="A2695" s="7"/>
      <c r="B2695" s="21"/>
      <c r="C2695" s="21"/>
      <c r="D2695" s="21"/>
      <c r="E2695" s="21"/>
      <c r="F2695" s="21"/>
      <c r="G2695" s="21"/>
      <c r="H2695" s="21"/>
      <c r="I2695" s="21"/>
      <c r="J2695" s="21"/>
      <c r="K2695" s="21"/>
      <c r="L2695" s="21"/>
      <c r="M2695" s="7"/>
      <c r="N2695" s="7"/>
      <c r="O2695" s="7"/>
      <c r="P2695" s="7"/>
      <c r="Q2695" s="7"/>
      <c r="R2695" s="7"/>
      <c r="S2695" s="7"/>
      <c r="T2695" s="7"/>
      <c r="U2695" s="7"/>
      <c r="V2695" s="7"/>
      <c r="W2695" s="7"/>
      <c r="X2695" s="7"/>
      <c r="Y2695" s="7"/>
      <c r="Z2695" s="7"/>
      <c r="AA2695" s="7"/>
      <c r="AB2695" s="7"/>
      <c r="AC2695" s="7"/>
      <c r="AD2695" s="7"/>
      <c r="AE2695" s="7"/>
    </row>
    <row r="2696">
      <c r="A2696" s="7"/>
      <c r="B2696" s="21"/>
      <c r="C2696" s="21"/>
      <c r="D2696" s="21"/>
      <c r="E2696" s="21"/>
      <c r="F2696" s="21"/>
      <c r="G2696" s="21"/>
      <c r="H2696" s="21"/>
      <c r="I2696" s="21"/>
      <c r="J2696" s="21"/>
      <c r="K2696" s="21"/>
      <c r="L2696" s="21"/>
      <c r="M2696" s="7"/>
      <c r="N2696" s="7"/>
      <c r="O2696" s="7"/>
      <c r="P2696" s="7"/>
      <c r="Q2696" s="7"/>
      <c r="R2696" s="7"/>
      <c r="S2696" s="7"/>
      <c r="T2696" s="7"/>
      <c r="U2696" s="7"/>
      <c r="V2696" s="7"/>
      <c r="W2696" s="7"/>
      <c r="X2696" s="7"/>
      <c r="Y2696" s="7"/>
      <c r="Z2696" s="7"/>
      <c r="AA2696" s="7"/>
      <c r="AB2696" s="7"/>
      <c r="AC2696" s="7"/>
      <c r="AD2696" s="7"/>
      <c r="AE2696" s="7"/>
    </row>
    <row r="2697">
      <c r="A2697" s="7"/>
      <c r="B2697" s="21"/>
      <c r="C2697" s="21"/>
      <c r="D2697" s="21"/>
      <c r="E2697" s="21"/>
      <c r="F2697" s="21"/>
      <c r="G2697" s="21"/>
      <c r="H2697" s="21"/>
      <c r="I2697" s="21"/>
      <c r="J2697" s="21"/>
      <c r="K2697" s="21"/>
      <c r="L2697" s="21"/>
      <c r="M2697" s="7"/>
      <c r="N2697" s="7"/>
      <c r="O2697" s="7"/>
      <c r="P2697" s="7"/>
      <c r="Q2697" s="7"/>
      <c r="R2697" s="7"/>
      <c r="S2697" s="7"/>
      <c r="T2697" s="7"/>
      <c r="U2697" s="7"/>
      <c r="V2697" s="7"/>
      <c r="W2697" s="7"/>
      <c r="X2697" s="7"/>
      <c r="Y2697" s="7"/>
      <c r="Z2697" s="7"/>
      <c r="AA2697" s="7"/>
      <c r="AB2697" s="7"/>
      <c r="AC2697" s="7"/>
      <c r="AD2697" s="7"/>
      <c r="AE2697" s="7"/>
    </row>
    <row r="2698">
      <c r="A2698" s="7"/>
      <c r="B2698" s="21"/>
      <c r="C2698" s="21"/>
      <c r="D2698" s="21"/>
      <c r="E2698" s="21"/>
      <c r="F2698" s="21"/>
      <c r="G2698" s="21"/>
      <c r="H2698" s="21"/>
      <c r="I2698" s="21"/>
      <c r="J2698" s="21"/>
      <c r="K2698" s="21"/>
      <c r="L2698" s="21"/>
      <c r="M2698" s="7"/>
      <c r="N2698" s="7"/>
      <c r="O2698" s="7"/>
      <c r="P2698" s="7"/>
      <c r="Q2698" s="7"/>
      <c r="R2698" s="7"/>
      <c r="S2698" s="7"/>
      <c r="T2698" s="7"/>
      <c r="U2698" s="7"/>
      <c r="V2698" s="7"/>
      <c r="W2698" s="7"/>
      <c r="X2698" s="7"/>
      <c r="Y2698" s="7"/>
      <c r="Z2698" s="7"/>
      <c r="AA2698" s="7"/>
      <c r="AB2698" s="7"/>
      <c r="AC2698" s="7"/>
      <c r="AD2698" s="7"/>
      <c r="AE2698" s="7"/>
    </row>
    <row r="2699">
      <c r="A2699" s="7"/>
      <c r="B2699" s="21"/>
      <c r="C2699" s="21"/>
      <c r="D2699" s="21"/>
      <c r="E2699" s="21"/>
      <c r="F2699" s="21"/>
      <c r="G2699" s="21"/>
      <c r="H2699" s="21"/>
      <c r="I2699" s="21"/>
      <c r="J2699" s="21"/>
      <c r="K2699" s="21"/>
      <c r="L2699" s="21"/>
      <c r="M2699" s="7"/>
      <c r="N2699" s="7"/>
      <c r="O2699" s="7"/>
      <c r="P2699" s="7"/>
      <c r="Q2699" s="7"/>
      <c r="R2699" s="7"/>
      <c r="S2699" s="7"/>
      <c r="T2699" s="7"/>
      <c r="U2699" s="7"/>
      <c r="V2699" s="7"/>
      <c r="W2699" s="7"/>
      <c r="X2699" s="7"/>
      <c r="Y2699" s="7"/>
      <c r="Z2699" s="7"/>
      <c r="AA2699" s="7"/>
      <c r="AB2699" s="7"/>
      <c r="AC2699" s="7"/>
      <c r="AD2699" s="7"/>
      <c r="AE2699" s="7"/>
    </row>
    <row r="2700">
      <c r="A2700" s="7"/>
      <c r="B2700" s="21"/>
      <c r="C2700" s="21"/>
      <c r="D2700" s="21"/>
      <c r="E2700" s="21"/>
      <c r="F2700" s="21"/>
      <c r="G2700" s="21"/>
      <c r="H2700" s="21"/>
      <c r="I2700" s="21"/>
      <c r="J2700" s="21"/>
      <c r="K2700" s="21"/>
      <c r="L2700" s="21"/>
      <c r="M2700" s="7"/>
      <c r="N2700" s="7"/>
      <c r="O2700" s="7"/>
      <c r="P2700" s="7"/>
      <c r="Q2700" s="7"/>
      <c r="R2700" s="7"/>
      <c r="S2700" s="7"/>
      <c r="T2700" s="7"/>
      <c r="U2700" s="7"/>
      <c r="V2700" s="7"/>
      <c r="W2700" s="7"/>
      <c r="X2700" s="7"/>
      <c r="Y2700" s="7"/>
      <c r="Z2700" s="7"/>
      <c r="AA2700" s="7"/>
      <c r="AB2700" s="7"/>
      <c r="AC2700" s="7"/>
      <c r="AD2700" s="7"/>
      <c r="AE2700" s="7"/>
    </row>
    <row r="2701">
      <c r="A2701" s="7"/>
      <c r="B2701" s="21"/>
      <c r="C2701" s="21"/>
      <c r="D2701" s="21"/>
      <c r="E2701" s="21"/>
      <c r="F2701" s="21"/>
      <c r="G2701" s="21"/>
      <c r="H2701" s="21"/>
      <c r="I2701" s="21"/>
      <c r="J2701" s="21"/>
      <c r="K2701" s="21"/>
      <c r="L2701" s="21"/>
      <c r="M2701" s="7"/>
      <c r="N2701" s="7"/>
      <c r="O2701" s="7"/>
      <c r="P2701" s="7"/>
      <c r="Q2701" s="7"/>
      <c r="R2701" s="7"/>
      <c r="S2701" s="7"/>
      <c r="T2701" s="7"/>
      <c r="U2701" s="7"/>
      <c r="V2701" s="7"/>
      <c r="W2701" s="7"/>
      <c r="X2701" s="7"/>
      <c r="Y2701" s="7"/>
      <c r="Z2701" s="7"/>
      <c r="AA2701" s="7"/>
      <c r="AB2701" s="7"/>
      <c r="AC2701" s="7"/>
      <c r="AD2701" s="7"/>
      <c r="AE2701" s="7"/>
    </row>
    <row r="2702">
      <c r="A2702" s="7"/>
      <c r="B2702" s="21"/>
      <c r="C2702" s="21"/>
      <c r="D2702" s="21"/>
      <c r="E2702" s="21"/>
      <c r="F2702" s="21"/>
      <c r="G2702" s="21"/>
      <c r="H2702" s="21"/>
      <c r="I2702" s="21"/>
      <c r="J2702" s="21"/>
      <c r="K2702" s="21"/>
      <c r="L2702" s="21"/>
      <c r="M2702" s="7"/>
      <c r="N2702" s="7"/>
      <c r="O2702" s="7"/>
      <c r="P2702" s="7"/>
      <c r="Q2702" s="7"/>
      <c r="R2702" s="7"/>
      <c r="S2702" s="7"/>
      <c r="T2702" s="7"/>
      <c r="U2702" s="7"/>
      <c r="V2702" s="7"/>
      <c r="W2702" s="7"/>
      <c r="X2702" s="7"/>
      <c r="Y2702" s="7"/>
      <c r="Z2702" s="7"/>
      <c r="AA2702" s="7"/>
      <c r="AB2702" s="7"/>
      <c r="AC2702" s="7"/>
      <c r="AD2702" s="7"/>
      <c r="AE2702" s="7"/>
    </row>
    <row r="2703">
      <c r="A2703" s="7"/>
      <c r="B2703" s="21"/>
      <c r="C2703" s="21"/>
      <c r="D2703" s="21"/>
      <c r="E2703" s="21"/>
      <c r="F2703" s="21"/>
      <c r="G2703" s="21"/>
      <c r="H2703" s="21"/>
      <c r="I2703" s="21"/>
      <c r="J2703" s="21"/>
      <c r="K2703" s="21"/>
      <c r="L2703" s="21"/>
      <c r="M2703" s="7"/>
      <c r="N2703" s="7"/>
      <c r="O2703" s="7"/>
      <c r="P2703" s="7"/>
      <c r="Q2703" s="7"/>
      <c r="R2703" s="7"/>
      <c r="S2703" s="7"/>
      <c r="T2703" s="7"/>
      <c r="U2703" s="7"/>
      <c r="V2703" s="7"/>
      <c r="W2703" s="7"/>
      <c r="X2703" s="7"/>
      <c r="Y2703" s="7"/>
      <c r="Z2703" s="7"/>
      <c r="AA2703" s="7"/>
      <c r="AB2703" s="7"/>
      <c r="AC2703" s="7"/>
      <c r="AD2703" s="7"/>
      <c r="AE2703" s="7"/>
    </row>
    <row r="2704">
      <c r="A2704" s="7"/>
      <c r="B2704" s="21"/>
      <c r="C2704" s="21"/>
      <c r="D2704" s="21"/>
      <c r="E2704" s="21"/>
      <c r="F2704" s="21"/>
      <c r="G2704" s="21"/>
      <c r="H2704" s="21"/>
      <c r="I2704" s="21"/>
      <c r="J2704" s="21"/>
      <c r="K2704" s="21"/>
      <c r="L2704" s="21"/>
      <c r="M2704" s="7"/>
      <c r="N2704" s="7"/>
      <c r="O2704" s="7"/>
      <c r="P2704" s="7"/>
      <c r="Q2704" s="7"/>
      <c r="R2704" s="7"/>
      <c r="S2704" s="7"/>
      <c r="T2704" s="7"/>
      <c r="U2704" s="7"/>
      <c r="V2704" s="7"/>
      <c r="W2704" s="7"/>
      <c r="X2704" s="7"/>
      <c r="Y2704" s="7"/>
      <c r="Z2704" s="7"/>
      <c r="AA2704" s="7"/>
      <c r="AB2704" s="7"/>
      <c r="AC2704" s="7"/>
      <c r="AD2704" s="7"/>
      <c r="AE2704" s="7"/>
    </row>
    <row r="2705">
      <c r="A2705" s="7"/>
      <c r="B2705" s="21"/>
      <c r="C2705" s="21"/>
      <c r="D2705" s="21"/>
      <c r="E2705" s="21"/>
      <c r="F2705" s="21"/>
      <c r="G2705" s="21"/>
      <c r="H2705" s="21"/>
      <c r="I2705" s="21"/>
      <c r="J2705" s="21"/>
      <c r="K2705" s="21"/>
      <c r="L2705" s="21"/>
      <c r="M2705" s="7"/>
      <c r="N2705" s="7"/>
      <c r="O2705" s="7"/>
      <c r="P2705" s="7"/>
      <c r="Q2705" s="7"/>
      <c r="R2705" s="7"/>
      <c r="S2705" s="7"/>
      <c r="T2705" s="7"/>
      <c r="U2705" s="7"/>
      <c r="V2705" s="7"/>
      <c r="W2705" s="7"/>
      <c r="X2705" s="7"/>
      <c r="Y2705" s="7"/>
      <c r="Z2705" s="7"/>
      <c r="AA2705" s="7"/>
      <c r="AB2705" s="7"/>
      <c r="AC2705" s="7"/>
      <c r="AD2705" s="7"/>
      <c r="AE2705" s="7"/>
    </row>
    <row r="2706">
      <c r="A2706" s="7"/>
      <c r="B2706" s="21"/>
      <c r="C2706" s="21"/>
      <c r="D2706" s="21"/>
      <c r="E2706" s="21"/>
      <c r="F2706" s="21"/>
      <c r="G2706" s="21"/>
      <c r="H2706" s="21"/>
      <c r="I2706" s="21"/>
      <c r="J2706" s="21"/>
      <c r="K2706" s="21"/>
      <c r="L2706" s="21"/>
      <c r="M2706" s="7"/>
      <c r="N2706" s="7"/>
      <c r="O2706" s="7"/>
      <c r="P2706" s="7"/>
      <c r="Q2706" s="7"/>
      <c r="R2706" s="7"/>
      <c r="S2706" s="7"/>
      <c r="T2706" s="7"/>
      <c r="U2706" s="7"/>
      <c r="V2706" s="7"/>
      <c r="W2706" s="7"/>
      <c r="X2706" s="7"/>
      <c r="Y2706" s="7"/>
      <c r="Z2706" s="7"/>
      <c r="AA2706" s="7"/>
      <c r="AB2706" s="7"/>
      <c r="AC2706" s="7"/>
      <c r="AD2706" s="7"/>
      <c r="AE2706" s="7"/>
    </row>
    <row r="2707">
      <c r="A2707" s="7"/>
      <c r="B2707" s="21"/>
      <c r="C2707" s="21"/>
      <c r="D2707" s="21"/>
      <c r="E2707" s="21"/>
      <c r="F2707" s="21"/>
      <c r="G2707" s="21"/>
      <c r="H2707" s="21"/>
      <c r="I2707" s="21"/>
      <c r="J2707" s="21"/>
      <c r="K2707" s="21"/>
      <c r="L2707" s="21"/>
      <c r="M2707" s="7"/>
      <c r="N2707" s="7"/>
      <c r="O2707" s="7"/>
      <c r="P2707" s="7"/>
      <c r="Q2707" s="7"/>
      <c r="R2707" s="7"/>
      <c r="S2707" s="7"/>
      <c r="T2707" s="7"/>
      <c r="U2707" s="7"/>
      <c r="V2707" s="7"/>
      <c r="W2707" s="7"/>
      <c r="X2707" s="7"/>
      <c r="Y2707" s="7"/>
      <c r="Z2707" s="7"/>
      <c r="AA2707" s="7"/>
      <c r="AB2707" s="7"/>
      <c r="AC2707" s="7"/>
      <c r="AD2707" s="7"/>
      <c r="AE2707" s="7"/>
    </row>
    <row r="2708">
      <c r="A2708" s="7"/>
      <c r="B2708" s="21"/>
      <c r="C2708" s="21"/>
      <c r="D2708" s="21"/>
      <c r="E2708" s="21"/>
      <c r="F2708" s="21"/>
      <c r="G2708" s="21"/>
      <c r="H2708" s="21"/>
      <c r="I2708" s="21"/>
      <c r="J2708" s="21"/>
      <c r="K2708" s="21"/>
      <c r="L2708" s="21"/>
      <c r="M2708" s="7"/>
      <c r="N2708" s="7"/>
      <c r="O2708" s="7"/>
      <c r="P2708" s="7"/>
      <c r="Q2708" s="7"/>
      <c r="R2708" s="7"/>
      <c r="S2708" s="7"/>
      <c r="T2708" s="7"/>
      <c r="U2708" s="7"/>
      <c r="V2708" s="7"/>
      <c r="W2708" s="7"/>
      <c r="X2708" s="7"/>
      <c r="Y2708" s="7"/>
      <c r="Z2708" s="7"/>
      <c r="AA2708" s="7"/>
      <c r="AB2708" s="7"/>
      <c r="AC2708" s="7"/>
      <c r="AD2708" s="7"/>
      <c r="AE2708" s="7"/>
    </row>
    <row r="2709">
      <c r="A2709" s="7"/>
      <c r="B2709" s="21"/>
      <c r="C2709" s="21"/>
      <c r="D2709" s="21"/>
      <c r="E2709" s="21"/>
      <c r="F2709" s="21"/>
      <c r="G2709" s="21"/>
      <c r="H2709" s="21"/>
      <c r="I2709" s="21"/>
      <c r="J2709" s="21"/>
      <c r="K2709" s="21"/>
      <c r="L2709" s="21"/>
      <c r="M2709" s="7"/>
      <c r="N2709" s="7"/>
      <c r="O2709" s="7"/>
      <c r="P2709" s="7"/>
      <c r="Q2709" s="7"/>
      <c r="R2709" s="7"/>
      <c r="S2709" s="7"/>
      <c r="T2709" s="7"/>
      <c r="U2709" s="7"/>
      <c r="V2709" s="7"/>
      <c r="W2709" s="7"/>
      <c r="X2709" s="7"/>
      <c r="Y2709" s="7"/>
      <c r="Z2709" s="7"/>
      <c r="AA2709" s="7"/>
      <c r="AB2709" s="7"/>
      <c r="AC2709" s="7"/>
      <c r="AD2709" s="7"/>
      <c r="AE2709" s="7"/>
    </row>
    <row r="2710">
      <c r="A2710" s="7"/>
      <c r="B2710" s="21"/>
      <c r="C2710" s="21"/>
      <c r="D2710" s="21"/>
      <c r="E2710" s="21"/>
      <c r="F2710" s="21"/>
      <c r="G2710" s="21"/>
      <c r="H2710" s="21"/>
      <c r="I2710" s="21"/>
      <c r="J2710" s="21"/>
      <c r="K2710" s="21"/>
      <c r="L2710" s="21"/>
      <c r="M2710" s="7"/>
      <c r="N2710" s="7"/>
      <c r="O2710" s="7"/>
      <c r="P2710" s="7"/>
      <c r="Q2710" s="7"/>
      <c r="R2710" s="7"/>
      <c r="S2710" s="7"/>
      <c r="T2710" s="7"/>
      <c r="U2710" s="7"/>
      <c r="V2710" s="7"/>
      <c r="W2710" s="7"/>
      <c r="X2710" s="7"/>
      <c r="Y2710" s="7"/>
      <c r="Z2710" s="7"/>
      <c r="AA2710" s="7"/>
      <c r="AB2710" s="7"/>
      <c r="AC2710" s="7"/>
      <c r="AD2710" s="7"/>
      <c r="AE2710" s="7"/>
    </row>
    <row r="2711">
      <c r="A2711" s="7"/>
      <c r="B2711" s="21"/>
      <c r="C2711" s="21"/>
      <c r="D2711" s="21"/>
      <c r="E2711" s="21"/>
      <c r="F2711" s="21"/>
      <c r="G2711" s="21"/>
      <c r="H2711" s="21"/>
      <c r="I2711" s="21"/>
      <c r="J2711" s="21"/>
      <c r="K2711" s="21"/>
      <c r="L2711" s="21"/>
      <c r="M2711" s="7"/>
      <c r="N2711" s="7"/>
      <c r="O2711" s="7"/>
      <c r="P2711" s="7"/>
      <c r="Q2711" s="7"/>
      <c r="R2711" s="7"/>
      <c r="S2711" s="7"/>
      <c r="T2711" s="7"/>
      <c r="U2711" s="7"/>
      <c r="V2711" s="7"/>
      <c r="W2711" s="7"/>
      <c r="X2711" s="7"/>
      <c r="Y2711" s="7"/>
      <c r="Z2711" s="7"/>
      <c r="AA2711" s="7"/>
      <c r="AB2711" s="7"/>
      <c r="AC2711" s="7"/>
      <c r="AD2711" s="7"/>
      <c r="AE2711" s="7"/>
    </row>
    <row r="2712">
      <c r="A2712" s="7"/>
      <c r="B2712" s="21"/>
      <c r="C2712" s="21"/>
      <c r="D2712" s="21"/>
      <c r="E2712" s="21"/>
      <c r="F2712" s="21"/>
      <c r="G2712" s="21"/>
      <c r="H2712" s="21"/>
      <c r="I2712" s="21"/>
      <c r="J2712" s="21"/>
      <c r="K2712" s="21"/>
      <c r="L2712" s="21"/>
      <c r="M2712" s="7"/>
      <c r="N2712" s="7"/>
      <c r="O2712" s="7"/>
      <c r="P2712" s="7"/>
      <c r="Q2712" s="7"/>
      <c r="R2712" s="7"/>
      <c r="S2712" s="7"/>
      <c r="T2712" s="7"/>
      <c r="U2712" s="7"/>
      <c r="V2712" s="7"/>
      <c r="W2712" s="7"/>
      <c r="X2712" s="7"/>
      <c r="Y2712" s="7"/>
      <c r="Z2712" s="7"/>
      <c r="AA2712" s="7"/>
      <c r="AB2712" s="7"/>
      <c r="AC2712" s="7"/>
      <c r="AD2712" s="7"/>
      <c r="AE2712" s="7"/>
    </row>
    <row r="2713">
      <c r="A2713" s="7"/>
      <c r="B2713" s="21"/>
      <c r="C2713" s="21"/>
      <c r="D2713" s="21"/>
      <c r="E2713" s="21"/>
      <c r="F2713" s="21"/>
      <c r="G2713" s="21"/>
      <c r="H2713" s="21"/>
      <c r="I2713" s="21"/>
      <c r="J2713" s="21"/>
      <c r="K2713" s="21"/>
      <c r="L2713" s="21"/>
      <c r="M2713" s="7"/>
      <c r="N2713" s="7"/>
      <c r="O2713" s="7"/>
      <c r="P2713" s="7"/>
      <c r="Q2713" s="7"/>
      <c r="R2713" s="7"/>
      <c r="S2713" s="7"/>
      <c r="T2713" s="7"/>
      <c r="U2713" s="7"/>
      <c r="V2713" s="7"/>
      <c r="W2713" s="7"/>
      <c r="X2713" s="7"/>
      <c r="Y2713" s="7"/>
      <c r="Z2713" s="7"/>
      <c r="AA2713" s="7"/>
      <c r="AB2713" s="7"/>
      <c r="AC2713" s="7"/>
      <c r="AD2713" s="7"/>
      <c r="AE2713" s="7"/>
    </row>
    <row r="2714">
      <c r="A2714" s="7"/>
      <c r="B2714" s="21"/>
      <c r="C2714" s="21"/>
      <c r="D2714" s="21"/>
      <c r="E2714" s="21"/>
      <c r="F2714" s="21"/>
      <c r="G2714" s="21"/>
      <c r="H2714" s="21"/>
      <c r="I2714" s="21"/>
      <c r="J2714" s="21"/>
      <c r="K2714" s="21"/>
      <c r="L2714" s="21"/>
      <c r="M2714" s="7"/>
      <c r="N2714" s="7"/>
      <c r="O2714" s="7"/>
      <c r="P2714" s="7"/>
      <c r="Q2714" s="7"/>
      <c r="R2714" s="7"/>
      <c r="S2714" s="7"/>
      <c r="T2714" s="7"/>
      <c r="U2714" s="7"/>
      <c r="V2714" s="7"/>
      <c r="W2714" s="7"/>
      <c r="X2714" s="7"/>
      <c r="Y2714" s="7"/>
      <c r="Z2714" s="7"/>
      <c r="AA2714" s="7"/>
      <c r="AB2714" s="7"/>
      <c r="AC2714" s="7"/>
      <c r="AD2714" s="7"/>
      <c r="AE2714" s="7"/>
    </row>
    <row r="2715">
      <c r="A2715" s="7"/>
      <c r="B2715" s="21"/>
      <c r="C2715" s="21"/>
      <c r="D2715" s="21"/>
      <c r="E2715" s="21"/>
      <c r="F2715" s="21"/>
      <c r="G2715" s="21"/>
      <c r="H2715" s="21"/>
      <c r="I2715" s="21"/>
      <c r="J2715" s="21"/>
      <c r="K2715" s="21"/>
      <c r="L2715" s="21"/>
      <c r="M2715" s="7"/>
      <c r="N2715" s="7"/>
      <c r="O2715" s="7"/>
      <c r="P2715" s="7"/>
      <c r="Q2715" s="7"/>
      <c r="R2715" s="7"/>
      <c r="S2715" s="7"/>
      <c r="T2715" s="7"/>
      <c r="U2715" s="7"/>
      <c r="V2715" s="7"/>
      <c r="W2715" s="7"/>
      <c r="X2715" s="7"/>
      <c r="Y2715" s="7"/>
      <c r="Z2715" s="7"/>
      <c r="AA2715" s="7"/>
      <c r="AB2715" s="7"/>
      <c r="AC2715" s="7"/>
      <c r="AD2715" s="7"/>
      <c r="AE2715" s="7"/>
    </row>
    <row r="2716">
      <c r="A2716" s="7"/>
      <c r="B2716" s="21"/>
      <c r="C2716" s="21"/>
      <c r="D2716" s="21"/>
      <c r="E2716" s="21"/>
      <c r="F2716" s="21"/>
      <c r="G2716" s="21"/>
      <c r="H2716" s="21"/>
      <c r="I2716" s="21"/>
      <c r="J2716" s="21"/>
      <c r="K2716" s="21"/>
      <c r="L2716" s="21"/>
      <c r="M2716" s="7"/>
      <c r="N2716" s="7"/>
      <c r="O2716" s="7"/>
      <c r="P2716" s="7"/>
      <c r="Q2716" s="7"/>
      <c r="R2716" s="7"/>
      <c r="S2716" s="7"/>
      <c r="T2716" s="7"/>
      <c r="U2716" s="7"/>
      <c r="V2716" s="7"/>
      <c r="W2716" s="7"/>
      <c r="X2716" s="7"/>
      <c r="Y2716" s="7"/>
      <c r="Z2716" s="7"/>
      <c r="AA2716" s="7"/>
      <c r="AB2716" s="7"/>
      <c r="AC2716" s="7"/>
      <c r="AD2716" s="7"/>
      <c r="AE2716" s="7"/>
    </row>
    <row r="2717">
      <c r="A2717" s="7"/>
      <c r="B2717" s="21"/>
      <c r="C2717" s="21"/>
      <c r="D2717" s="21"/>
      <c r="E2717" s="21"/>
      <c r="F2717" s="21"/>
      <c r="G2717" s="21"/>
      <c r="H2717" s="21"/>
      <c r="I2717" s="21"/>
      <c r="J2717" s="21"/>
      <c r="K2717" s="21"/>
      <c r="L2717" s="21"/>
      <c r="M2717" s="7"/>
      <c r="N2717" s="7"/>
      <c r="O2717" s="7"/>
      <c r="P2717" s="7"/>
      <c r="Q2717" s="7"/>
      <c r="R2717" s="7"/>
      <c r="S2717" s="7"/>
      <c r="T2717" s="7"/>
      <c r="U2717" s="7"/>
      <c r="V2717" s="7"/>
      <c r="W2717" s="7"/>
      <c r="X2717" s="7"/>
      <c r="Y2717" s="7"/>
      <c r="Z2717" s="7"/>
      <c r="AA2717" s="7"/>
      <c r="AB2717" s="7"/>
      <c r="AC2717" s="7"/>
      <c r="AD2717" s="7"/>
      <c r="AE2717" s="7"/>
    </row>
    <row r="2718">
      <c r="A2718" s="7"/>
      <c r="B2718" s="21"/>
      <c r="C2718" s="21"/>
      <c r="D2718" s="21"/>
      <c r="E2718" s="21"/>
      <c r="F2718" s="21"/>
      <c r="G2718" s="21"/>
      <c r="H2718" s="21"/>
      <c r="I2718" s="21"/>
      <c r="J2718" s="21"/>
      <c r="K2718" s="21"/>
      <c r="L2718" s="21"/>
      <c r="M2718" s="7"/>
      <c r="N2718" s="7"/>
      <c r="O2718" s="7"/>
      <c r="P2718" s="7"/>
      <c r="Q2718" s="7"/>
      <c r="R2718" s="7"/>
      <c r="S2718" s="7"/>
      <c r="T2718" s="7"/>
      <c r="U2718" s="7"/>
      <c r="V2718" s="7"/>
      <c r="W2718" s="7"/>
      <c r="X2718" s="7"/>
      <c r="Y2718" s="7"/>
      <c r="Z2718" s="7"/>
      <c r="AA2718" s="7"/>
      <c r="AB2718" s="7"/>
      <c r="AC2718" s="7"/>
      <c r="AD2718" s="7"/>
      <c r="AE2718" s="7"/>
    </row>
    <row r="2719">
      <c r="A2719" s="7"/>
      <c r="B2719" s="21"/>
      <c r="C2719" s="21"/>
      <c r="D2719" s="21"/>
      <c r="E2719" s="21"/>
      <c r="F2719" s="21"/>
      <c r="G2719" s="21"/>
      <c r="H2719" s="21"/>
      <c r="I2719" s="21"/>
      <c r="J2719" s="21"/>
      <c r="K2719" s="21"/>
      <c r="L2719" s="21"/>
      <c r="M2719" s="7"/>
      <c r="N2719" s="7"/>
      <c r="O2719" s="7"/>
      <c r="P2719" s="7"/>
      <c r="Q2719" s="7"/>
      <c r="R2719" s="7"/>
      <c r="S2719" s="7"/>
      <c r="T2719" s="7"/>
      <c r="U2719" s="7"/>
      <c r="V2719" s="7"/>
      <c r="W2719" s="7"/>
      <c r="X2719" s="7"/>
      <c r="Y2719" s="7"/>
      <c r="Z2719" s="7"/>
      <c r="AA2719" s="7"/>
      <c r="AB2719" s="7"/>
      <c r="AC2719" s="7"/>
      <c r="AD2719" s="7"/>
      <c r="AE2719" s="7"/>
    </row>
    <row r="2720">
      <c r="A2720" s="7"/>
      <c r="B2720" s="21"/>
      <c r="C2720" s="21"/>
      <c r="D2720" s="21"/>
      <c r="E2720" s="21"/>
      <c r="F2720" s="21"/>
      <c r="G2720" s="21"/>
      <c r="H2720" s="21"/>
      <c r="I2720" s="21"/>
      <c r="J2720" s="21"/>
      <c r="K2720" s="21"/>
      <c r="L2720" s="21"/>
      <c r="M2720" s="7"/>
      <c r="N2720" s="7"/>
      <c r="O2720" s="7"/>
      <c r="P2720" s="7"/>
      <c r="Q2720" s="7"/>
      <c r="R2720" s="7"/>
      <c r="S2720" s="7"/>
      <c r="T2720" s="7"/>
      <c r="U2720" s="7"/>
      <c r="V2720" s="7"/>
      <c r="W2720" s="7"/>
      <c r="X2720" s="7"/>
      <c r="Y2720" s="7"/>
      <c r="Z2720" s="7"/>
      <c r="AA2720" s="7"/>
      <c r="AB2720" s="7"/>
      <c r="AC2720" s="7"/>
      <c r="AD2720" s="7"/>
      <c r="AE2720" s="7"/>
    </row>
    <row r="2721">
      <c r="A2721" s="7"/>
      <c r="B2721" s="21"/>
      <c r="C2721" s="21"/>
      <c r="D2721" s="21"/>
      <c r="E2721" s="21"/>
      <c r="F2721" s="21"/>
      <c r="G2721" s="21"/>
      <c r="H2721" s="21"/>
      <c r="I2721" s="21"/>
      <c r="J2721" s="21"/>
      <c r="K2721" s="21"/>
      <c r="L2721" s="21"/>
      <c r="M2721" s="7"/>
      <c r="N2721" s="7"/>
      <c r="O2721" s="7"/>
      <c r="P2721" s="7"/>
      <c r="Q2721" s="7"/>
      <c r="R2721" s="7"/>
      <c r="S2721" s="7"/>
      <c r="T2721" s="7"/>
      <c r="U2721" s="7"/>
      <c r="V2721" s="7"/>
      <c r="W2721" s="7"/>
      <c r="X2721" s="7"/>
      <c r="Y2721" s="7"/>
      <c r="Z2721" s="7"/>
      <c r="AA2721" s="7"/>
      <c r="AB2721" s="7"/>
      <c r="AC2721" s="7"/>
      <c r="AD2721" s="7"/>
      <c r="AE2721" s="7"/>
    </row>
    <row r="2722">
      <c r="A2722" s="7"/>
      <c r="B2722" s="21"/>
      <c r="C2722" s="21"/>
      <c r="D2722" s="21"/>
      <c r="E2722" s="21"/>
      <c r="F2722" s="21"/>
      <c r="G2722" s="21"/>
      <c r="H2722" s="21"/>
      <c r="I2722" s="21"/>
      <c r="J2722" s="21"/>
      <c r="K2722" s="21"/>
      <c r="L2722" s="21"/>
      <c r="M2722" s="7"/>
      <c r="N2722" s="7"/>
      <c r="O2722" s="7"/>
      <c r="P2722" s="7"/>
      <c r="Q2722" s="7"/>
      <c r="R2722" s="7"/>
      <c r="S2722" s="7"/>
      <c r="T2722" s="7"/>
      <c r="U2722" s="7"/>
      <c r="V2722" s="7"/>
      <c r="W2722" s="7"/>
      <c r="X2722" s="7"/>
      <c r="Y2722" s="7"/>
      <c r="Z2722" s="7"/>
      <c r="AA2722" s="7"/>
      <c r="AB2722" s="7"/>
      <c r="AC2722" s="7"/>
      <c r="AD2722" s="7"/>
      <c r="AE2722" s="7"/>
    </row>
    <row r="2723">
      <c r="A2723" s="7"/>
      <c r="B2723" s="21"/>
      <c r="C2723" s="21"/>
      <c r="D2723" s="21"/>
      <c r="E2723" s="21"/>
      <c r="F2723" s="21"/>
      <c r="G2723" s="21"/>
      <c r="H2723" s="21"/>
      <c r="I2723" s="21"/>
      <c r="J2723" s="21"/>
      <c r="K2723" s="21"/>
      <c r="L2723" s="21"/>
      <c r="M2723" s="7"/>
      <c r="N2723" s="7"/>
      <c r="O2723" s="7"/>
      <c r="P2723" s="7"/>
      <c r="Q2723" s="7"/>
      <c r="R2723" s="7"/>
      <c r="S2723" s="7"/>
      <c r="T2723" s="7"/>
      <c r="U2723" s="7"/>
      <c r="V2723" s="7"/>
      <c r="W2723" s="7"/>
      <c r="X2723" s="7"/>
      <c r="Y2723" s="7"/>
      <c r="Z2723" s="7"/>
      <c r="AA2723" s="7"/>
      <c r="AB2723" s="7"/>
      <c r="AC2723" s="7"/>
      <c r="AD2723" s="7"/>
      <c r="AE2723" s="7"/>
    </row>
    <row r="2724">
      <c r="A2724" s="7"/>
      <c r="B2724" s="21"/>
      <c r="C2724" s="21"/>
      <c r="D2724" s="21"/>
      <c r="E2724" s="21"/>
      <c r="F2724" s="21"/>
      <c r="G2724" s="21"/>
      <c r="H2724" s="21"/>
      <c r="I2724" s="21"/>
      <c r="J2724" s="21"/>
      <c r="K2724" s="21"/>
      <c r="L2724" s="21"/>
      <c r="M2724" s="7"/>
      <c r="N2724" s="7"/>
      <c r="O2724" s="7"/>
      <c r="P2724" s="7"/>
      <c r="Q2724" s="7"/>
      <c r="R2724" s="7"/>
      <c r="S2724" s="7"/>
      <c r="T2724" s="7"/>
      <c r="U2724" s="7"/>
      <c r="V2724" s="7"/>
      <c r="W2724" s="7"/>
      <c r="X2724" s="7"/>
      <c r="Y2724" s="7"/>
      <c r="Z2724" s="7"/>
      <c r="AA2724" s="7"/>
      <c r="AB2724" s="7"/>
      <c r="AC2724" s="7"/>
      <c r="AD2724" s="7"/>
      <c r="AE2724" s="7"/>
    </row>
    <row r="2725">
      <c r="A2725" s="7"/>
      <c r="B2725" s="21"/>
      <c r="C2725" s="21"/>
      <c r="D2725" s="21"/>
      <c r="E2725" s="21"/>
      <c r="F2725" s="21"/>
      <c r="G2725" s="21"/>
      <c r="H2725" s="21"/>
      <c r="I2725" s="21"/>
      <c r="J2725" s="21"/>
      <c r="K2725" s="21"/>
      <c r="L2725" s="21"/>
      <c r="M2725" s="7"/>
      <c r="N2725" s="7"/>
      <c r="O2725" s="7"/>
      <c r="P2725" s="7"/>
      <c r="Q2725" s="7"/>
      <c r="R2725" s="7"/>
      <c r="S2725" s="7"/>
      <c r="T2725" s="7"/>
      <c r="U2725" s="7"/>
      <c r="V2725" s="7"/>
      <c r="W2725" s="7"/>
      <c r="X2725" s="7"/>
      <c r="Y2725" s="7"/>
      <c r="Z2725" s="7"/>
      <c r="AA2725" s="7"/>
      <c r="AB2725" s="7"/>
      <c r="AC2725" s="7"/>
      <c r="AD2725" s="7"/>
      <c r="AE2725" s="7"/>
    </row>
    <row r="2726">
      <c r="A2726" s="7"/>
      <c r="B2726" s="21"/>
      <c r="C2726" s="21"/>
      <c r="D2726" s="21"/>
      <c r="E2726" s="21"/>
      <c r="F2726" s="21"/>
      <c r="G2726" s="21"/>
      <c r="H2726" s="21"/>
      <c r="I2726" s="21"/>
      <c r="J2726" s="21"/>
      <c r="K2726" s="21"/>
      <c r="L2726" s="21"/>
      <c r="M2726" s="7"/>
      <c r="N2726" s="7"/>
      <c r="O2726" s="7"/>
      <c r="P2726" s="7"/>
      <c r="Q2726" s="7"/>
      <c r="R2726" s="7"/>
      <c r="S2726" s="7"/>
      <c r="T2726" s="7"/>
      <c r="U2726" s="7"/>
      <c r="V2726" s="7"/>
      <c r="W2726" s="7"/>
      <c r="X2726" s="7"/>
      <c r="Y2726" s="7"/>
      <c r="Z2726" s="7"/>
      <c r="AA2726" s="7"/>
      <c r="AB2726" s="7"/>
      <c r="AC2726" s="7"/>
      <c r="AD2726" s="7"/>
      <c r="AE2726" s="7"/>
    </row>
    <row r="2727">
      <c r="A2727" s="7"/>
      <c r="B2727" s="21"/>
      <c r="C2727" s="21"/>
      <c r="D2727" s="21"/>
      <c r="E2727" s="21"/>
      <c r="F2727" s="21"/>
      <c r="G2727" s="21"/>
      <c r="H2727" s="21"/>
      <c r="I2727" s="21"/>
      <c r="J2727" s="21"/>
      <c r="K2727" s="21"/>
      <c r="L2727" s="21"/>
      <c r="M2727" s="7"/>
      <c r="N2727" s="7"/>
      <c r="O2727" s="7"/>
      <c r="P2727" s="7"/>
      <c r="Q2727" s="7"/>
      <c r="R2727" s="7"/>
      <c r="S2727" s="7"/>
      <c r="T2727" s="7"/>
      <c r="U2727" s="7"/>
      <c r="V2727" s="7"/>
      <c r="W2727" s="7"/>
      <c r="X2727" s="7"/>
      <c r="Y2727" s="7"/>
      <c r="Z2727" s="7"/>
      <c r="AA2727" s="7"/>
      <c r="AB2727" s="7"/>
      <c r="AC2727" s="7"/>
      <c r="AD2727" s="7"/>
      <c r="AE2727" s="7"/>
    </row>
    <row r="2728">
      <c r="A2728" s="7"/>
      <c r="B2728" s="21"/>
      <c r="C2728" s="21"/>
      <c r="D2728" s="21"/>
      <c r="E2728" s="21"/>
      <c r="F2728" s="21"/>
      <c r="G2728" s="21"/>
      <c r="H2728" s="21"/>
      <c r="I2728" s="21"/>
      <c r="J2728" s="21"/>
      <c r="K2728" s="21"/>
      <c r="L2728" s="21"/>
      <c r="M2728" s="7"/>
      <c r="N2728" s="7"/>
      <c r="O2728" s="7"/>
      <c r="P2728" s="7"/>
      <c r="Q2728" s="7"/>
      <c r="R2728" s="7"/>
      <c r="S2728" s="7"/>
      <c r="T2728" s="7"/>
      <c r="U2728" s="7"/>
      <c r="V2728" s="7"/>
      <c r="W2728" s="7"/>
      <c r="X2728" s="7"/>
      <c r="Y2728" s="7"/>
      <c r="Z2728" s="7"/>
      <c r="AA2728" s="7"/>
      <c r="AB2728" s="7"/>
      <c r="AC2728" s="7"/>
      <c r="AD2728" s="7"/>
      <c r="AE2728" s="7"/>
    </row>
    <row r="2729">
      <c r="A2729" s="7"/>
      <c r="B2729" s="21"/>
      <c r="C2729" s="21"/>
      <c r="D2729" s="21"/>
      <c r="E2729" s="21"/>
      <c r="F2729" s="21"/>
      <c r="G2729" s="21"/>
      <c r="H2729" s="21"/>
      <c r="I2729" s="21"/>
      <c r="J2729" s="21"/>
      <c r="K2729" s="21"/>
      <c r="L2729" s="21"/>
      <c r="M2729" s="7"/>
      <c r="N2729" s="7"/>
      <c r="O2729" s="7"/>
      <c r="P2729" s="7"/>
      <c r="Q2729" s="7"/>
      <c r="R2729" s="7"/>
      <c r="S2729" s="7"/>
      <c r="T2729" s="7"/>
      <c r="U2729" s="7"/>
      <c r="V2729" s="7"/>
      <c r="W2729" s="7"/>
      <c r="X2729" s="7"/>
      <c r="Y2729" s="7"/>
      <c r="Z2729" s="7"/>
      <c r="AA2729" s="7"/>
      <c r="AB2729" s="7"/>
      <c r="AC2729" s="7"/>
      <c r="AD2729" s="7"/>
      <c r="AE2729" s="7"/>
    </row>
    <row r="2730">
      <c r="A2730" s="7"/>
      <c r="B2730" s="21"/>
      <c r="C2730" s="21"/>
      <c r="D2730" s="21"/>
      <c r="E2730" s="21"/>
      <c r="F2730" s="21"/>
      <c r="G2730" s="21"/>
      <c r="H2730" s="21"/>
      <c r="I2730" s="21"/>
      <c r="J2730" s="21"/>
      <c r="K2730" s="21"/>
      <c r="L2730" s="21"/>
      <c r="M2730" s="7"/>
      <c r="N2730" s="7"/>
      <c r="O2730" s="7"/>
      <c r="P2730" s="7"/>
      <c r="Q2730" s="7"/>
      <c r="R2730" s="7"/>
      <c r="S2730" s="7"/>
      <c r="T2730" s="7"/>
      <c r="U2730" s="7"/>
      <c r="V2730" s="7"/>
      <c r="W2730" s="7"/>
      <c r="X2730" s="7"/>
      <c r="Y2730" s="7"/>
      <c r="Z2730" s="7"/>
      <c r="AA2730" s="7"/>
      <c r="AB2730" s="7"/>
      <c r="AC2730" s="7"/>
      <c r="AD2730" s="7"/>
      <c r="AE2730" s="7"/>
    </row>
    <row r="2731">
      <c r="A2731" s="7"/>
      <c r="B2731" s="21"/>
      <c r="C2731" s="21"/>
      <c r="D2731" s="21"/>
      <c r="E2731" s="21"/>
      <c r="F2731" s="21"/>
      <c r="G2731" s="21"/>
      <c r="H2731" s="21"/>
      <c r="I2731" s="21"/>
      <c r="J2731" s="21"/>
      <c r="K2731" s="21"/>
      <c r="L2731" s="21"/>
      <c r="M2731" s="7"/>
      <c r="N2731" s="7"/>
      <c r="O2731" s="7"/>
      <c r="P2731" s="7"/>
      <c r="Q2731" s="7"/>
      <c r="R2731" s="7"/>
      <c r="S2731" s="7"/>
      <c r="T2731" s="7"/>
      <c r="U2731" s="7"/>
      <c r="V2731" s="7"/>
      <c r="W2731" s="7"/>
      <c r="X2731" s="7"/>
      <c r="Y2731" s="7"/>
      <c r="Z2731" s="7"/>
      <c r="AA2731" s="7"/>
      <c r="AB2731" s="7"/>
      <c r="AC2731" s="7"/>
      <c r="AD2731" s="7"/>
      <c r="AE2731" s="7"/>
    </row>
    <row r="2732">
      <c r="A2732" s="7"/>
      <c r="B2732" s="21"/>
      <c r="C2732" s="21"/>
      <c r="D2732" s="21"/>
      <c r="E2732" s="21"/>
      <c r="F2732" s="21"/>
      <c r="G2732" s="21"/>
      <c r="H2732" s="21"/>
      <c r="I2732" s="21"/>
      <c r="J2732" s="21"/>
      <c r="K2732" s="21"/>
      <c r="L2732" s="21"/>
      <c r="M2732" s="7"/>
      <c r="N2732" s="7"/>
      <c r="O2732" s="7"/>
      <c r="P2732" s="7"/>
      <c r="Q2732" s="7"/>
      <c r="R2732" s="7"/>
      <c r="S2732" s="7"/>
      <c r="T2732" s="7"/>
      <c r="U2732" s="7"/>
      <c r="V2732" s="7"/>
      <c r="W2732" s="7"/>
      <c r="X2732" s="7"/>
      <c r="Y2732" s="7"/>
      <c r="Z2732" s="7"/>
      <c r="AA2732" s="7"/>
      <c r="AB2732" s="7"/>
      <c r="AC2732" s="7"/>
      <c r="AD2732" s="7"/>
      <c r="AE2732" s="7"/>
    </row>
    <row r="2733">
      <c r="A2733" s="7"/>
      <c r="B2733" s="21"/>
      <c r="C2733" s="21"/>
      <c r="D2733" s="21"/>
      <c r="E2733" s="21"/>
      <c r="F2733" s="21"/>
      <c r="G2733" s="21"/>
      <c r="H2733" s="21"/>
      <c r="I2733" s="21"/>
      <c r="J2733" s="21"/>
      <c r="K2733" s="21"/>
      <c r="L2733" s="21"/>
      <c r="M2733" s="7"/>
      <c r="N2733" s="7"/>
      <c r="O2733" s="7"/>
      <c r="P2733" s="7"/>
      <c r="Q2733" s="7"/>
      <c r="R2733" s="7"/>
      <c r="S2733" s="7"/>
      <c r="T2733" s="7"/>
      <c r="U2733" s="7"/>
      <c r="V2733" s="7"/>
      <c r="W2733" s="7"/>
      <c r="X2733" s="7"/>
      <c r="Y2733" s="7"/>
      <c r="Z2733" s="7"/>
      <c r="AA2733" s="7"/>
      <c r="AB2733" s="7"/>
      <c r="AC2733" s="7"/>
      <c r="AD2733" s="7"/>
      <c r="AE2733" s="7"/>
    </row>
    <row r="2734">
      <c r="A2734" s="7"/>
      <c r="B2734" s="21"/>
      <c r="C2734" s="21"/>
      <c r="D2734" s="21"/>
      <c r="E2734" s="21"/>
      <c r="F2734" s="21"/>
      <c r="G2734" s="21"/>
      <c r="H2734" s="21"/>
      <c r="I2734" s="21"/>
      <c r="J2734" s="21"/>
      <c r="K2734" s="21"/>
      <c r="L2734" s="21"/>
      <c r="M2734" s="7"/>
      <c r="N2734" s="7"/>
      <c r="O2734" s="7"/>
      <c r="P2734" s="7"/>
      <c r="Q2734" s="7"/>
      <c r="R2734" s="7"/>
      <c r="S2734" s="7"/>
      <c r="T2734" s="7"/>
      <c r="U2734" s="7"/>
      <c r="V2734" s="7"/>
      <c r="W2734" s="7"/>
      <c r="X2734" s="7"/>
      <c r="Y2734" s="7"/>
      <c r="Z2734" s="7"/>
      <c r="AA2734" s="7"/>
      <c r="AB2734" s="7"/>
      <c r="AC2734" s="7"/>
      <c r="AD2734" s="7"/>
      <c r="AE2734" s="7"/>
    </row>
    <row r="2735">
      <c r="A2735" s="7"/>
      <c r="B2735" s="21"/>
      <c r="C2735" s="21"/>
      <c r="D2735" s="21"/>
      <c r="E2735" s="21"/>
      <c r="F2735" s="21"/>
      <c r="G2735" s="21"/>
      <c r="H2735" s="21"/>
      <c r="I2735" s="21"/>
      <c r="J2735" s="21"/>
      <c r="K2735" s="21"/>
      <c r="L2735" s="21"/>
      <c r="M2735" s="7"/>
      <c r="N2735" s="7"/>
      <c r="O2735" s="7"/>
      <c r="P2735" s="7"/>
      <c r="Q2735" s="7"/>
      <c r="R2735" s="7"/>
      <c r="S2735" s="7"/>
      <c r="T2735" s="7"/>
      <c r="U2735" s="7"/>
      <c r="V2735" s="7"/>
      <c r="W2735" s="7"/>
      <c r="X2735" s="7"/>
      <c r="Y2735" s="7"/>
      <c r="Z2735" s="7"/>
      <c r="AA2735" s="7"/>
      <c r="AB2735" s="7"/>
      <c r="AC2735" s="7"/>
      <c r="AD2735" s="7"/>
      <c r="AE2735" s="7"/>
    </row>
    <row r="2736">
      <c r="A2736" s="7"/>
      <c r="B2736" s="21"/>
      <c r="C2736" s="21"/>
      <c r="D2736" s="21"/>
      <c r="E2736" s="21"/>
      <c r="F2736" s="21"/>
      <c r="G2736" s="21"/>
      <c r="H2736" s="21"/>
      <c r="I2736" s="21"/>
      <c r="J2736" s="21"/>
      <c r="K2736" s="21"/>
      <c r="L2736" s="21"/>
      <c r="M2736" s="7"/>
      <c r="N2736" s="7"/>
      <c r="O2736" s="7"/>
      <c r="P2736" s="7"/>
      <c r="Q2736" s="7"/>
      <c r="R2736" s="7"/>
      <c r="S2736" s="7"/>
      <c r="T2736" s="7"/>
      <c r="U2736" s="7"/>
      <c r="V2736" s="7"/>
      <c r="W2736" s="7"/>
      <c r="X2736" s="7"/>
      <c r="Y2736" s="7"/>
      <c r="Z2736" s="7"/>
      <c r="AA2736" s="7"/>
      <c r="AB2736" s="7"/>
      <c r="AC2736" s="7"/>
      <c r="AD2736" s="7"/>
      <c r="AE2736" s="7"/>
    </row>
    <row r="2737">
      <c r="A2737" s="7"/>
      <c r="B2737" s="21"/>
      <c r="C2737" s="21"/>
      <c r="D2737" s="21"/>
      <c r="E2737" s="21"/>
      <c r="F2737" s="21"/>
      <c r="G2737" s="21"/>
      <c r="H2737" s="21"/>
      <c r="I2737" s="21"/>
      <c r="J2737" s="21"/>
      <c r="K2737" s="21"/>
      <c r="L2737" s="21"/>
      <c r="M2737" s="7"/>
      <c r="N2737" s="7"/>
      <c r="O2737" s="7"/>
      <c r="P2737" s="7"/>
      <c r="Q2737" s="7"/>
      <c r="R2737" s="7"/>
      <c r="S2737" s="7"/>
      <c r="T2737" s="7"/>
      <c r="U2737" s="7"/>
      <c r="V2737" s="7"/>
      <c r="W2737" s="7"/>
      <c r="X2737" s="7"/>
      <c r="Y2737" s="7"/>
      <c r="Z2737" s="7"/>
      <c r="AA2737" s="7"/>
      <c r="AB2737" s="7"/>
      <c r="AC2737" s="7"/>
      <c r="AD2737" s="7"/>
      <c r="AE2737" s="7"/>
    </row>
    <row r="2738">
      <c r="A2738" s="7"/>
      <c r="B2738" s="21"/>
      <c r="C2738" s="21"/>
      <c r="D2738" s="21"/>
      <c r="E2738" s="21"/>
      <c r="F2738" s="21"/>
      <c r="G2738" s="21"/>
      <c r="H2738" s="21"/>
      <c r="I2738" s="21"/>
      <c r="J2738" s="21"/>
      <c r="K2738" s="21"/>
      <c r="L2738" s="21"/>
      <c r="M2738" s="7"/>
      <c r="N2738" s="7"/>
      <c r="O2738" s="7"/>
      <c r="P2738" s="7"/>
      <c r="Q2738" s="7"/>
      <c r="R2738" s="7"/>
      <c r="S2738" s="7"/>
      <c r="T2738" s="7"/>
      <c r="U2738" s="7"/>
      <c r="V2738" s="7"/>
      <c r="W2738" s="7"/>
      <c r="X2738" s="7"/>
      <c r="Y2738" s="7"/>
      <c r="Z2738" s="7"/>
      <c r="AA2738" s="7"/>
      <c r="AB2738" s="7"/>
      <c r="AC2738" s="7"/>
      <c r="AD2738" s="7"/>
      <c r="AE2738" s="7"/>
    </row>
    <row r="2739">
      <c r="A2739" s="7"/>
      <c r="B2739" s="21"/>
      <c r="C2739" s="21"/>
      <c r="D2739" s="21"/>
      <c r="E2739" s="21"/>
      <c r="F2739" s="21"/>
      <c r="G2739" s="21"/>
      <c r="H2739" s="21"/>
      <c r="I2739" s="21"/>
      <c r="J2739" s="21"/>
      <c r="K2739" s="21"/>
      <c r="L2739" s="21"/>
      <c r="M2739" s="7"/>
      <c r="N2739" s="7"/>
      <c r="O2739" s="7"/>
      <c r="P2739" s="7"/>
      <c r="Q2739" s="7"/>
      <c r="R2739" s="7"/>
      <c r="S2739" s="7"/>
      <c r="T2739" s="7"/>
      <c r="U2739" s="7"/>
      <c r="V2739" s="7"/>
      <c r="W2739" s="7"/>
      <c r="X2739" s="7"/>
      <c r="Y2739" s="7"/>
      <c r="Z2739" s="7"/>
      <c r="AA2739" s="7"/>
      <c r="AB2739" s="7"/>
      <c r="AC2739" s="7"/>
      <c r="AD2739" s="7"/>
      <c r="AE2739" s="7"/>
    </row>
    <row r="2740">
      <c r="A2740" s="7"/>
      <c r="B2740" s="21"/>
      <c r="C2740" s="21"/>
      <c r="D2740" s="21"/>
      <c r="E2740" s="21"/>
      <c r="F2740" s="21"/>
      <c r="G2740" s="21"/>
      <c r="H2740" s="21"/>
      <c r="I2740" s="21"/>
      <c r="J2740" s="21"/>
      <c r="K2740" s="21"/>
      <c r="L2740" s="21"/>
      <c r="M2740" s="7"/>
      <c r="N2740" s="7"/>
      <c r="O2740" s="7"/>
      <c r="P2740" s="7"/>
      <c r="Q2740" s="7"/>
      <c r="R2740" s="7"/>
      <c r="S2740" s="7"/>
      <c r="T2740" s="7"/>
      <c r="U2740" s="7"/>
      <c r="V2740" s="7"/>
      <c r="W2740" s="7"/>
      <c r="X2740" s="7"/>
      <c r="Y2740" s="7"/>
      <c r="Z2740" s="7"/>
      <c r="AA2740" s="7"/>
      <c r="AB2740" s="7"/>
      <c r="AC2740" s="7"/>
      <c r="AD2740" s="7"/>
      <c r="AE2740" s="7"/>
    </row>
    <row r="2741">
      <c r="A2741" s="7"/>
      <c r="B2741" s="21"/>
      <c r="C2741" s="21"/>
      <c r="D2741" s="21"/>
      <c r="E2741" s="21"/>
      <c r="F2741" s="21"/>
      <c r="G2741" s="21"/>
      <c r="H2741" s="21"/>
      <c r="I2741" s="21"/>
      <c r="J2741" s="21"/>
      <c r="K2741" s="21"/>
      <c r="L2741" s="21"/>
      <c r="M2741" s="7"/>
      <c r="N2741" s="7"/>
      <c r="O2741" s="7"/>
      <c r="P2741" s="7"/>
      <c r="Q2741" s="7"/>
      <c r="R2741" s="7"/>
      <c r="S2741" s="7"/>
      <c r="T2741" s="7"/>
      <c r="U2741" s="7"/>
      <c r="V2741" s="7"/>
      <c r="W2741" s="7"/>
      <c r="X2741" s="7"/>
      <c r="Y2741" s="7"/>
      <c r="Z2741" s="7"/>
      <c r="AA2741" s="7"/>
      <c r="AB2741" s="7"/>
      <c r="AC2741" s="7"/>
      <c r="AD2741" s="7"/>
      <c r="AE2741" s="7"/>
    </row>
    <row r="2742">
      <c r="A2742" s="7"/>
      <c r="B2742" s="21"/>
      <c r="C2742" s="21"/>
      <c r="D2742" s="21"/>
      <c r="E2742" s="21"/>
      <c r="F2742" s="21"/>
      <c r="G2742" s="21"/>
      <c r="H2742" s="21"/>
      <c r="I2742" s="21"/>
      <c r="J2742" s="21"/>
      <c r="K2742" s="21"/>
      <c r="L2742" s="21"/>
      <c r="M2742" s="7"/>
      <c r="N2742" s="7"/>
      <c r="O2742" s="7"/>
      <c r="P2742" s="7"/>
      <c r="Q2742" s="7"/>
      <c r="R2742" s="7"/>
      <c r="S2742" s="7"/>
      <c r="T2742" s="7"/>
      <c r="U2742" s="7"/>
      <c r="V2742" s="7"/>
      <c r="W2742" s="7"/>
      <c r="X2742" s="7"/>
      <c r="Y2742" s="7"/>
      <c r="Z2742" s="7"/>
      <c r="AA2742" s="7"/>
      <c r="AB2742" s="7"/>
      <c r="AC2742" s="7"/>
      <c r="AD2742" s="7"/>
      <c r="AE2742" s="7"/>
    </row>
    <row r="2743">
      <c r="A2743" s="7"/>
      <c r="B2743" s="21"/>
      <c r="C2743" s="21"/>
      <c r="D2743" s="21"/>
      <c r="E2743" s="21"/>
      <c r="F2743" s="21"/>
      <c r="G2743" s="21"/>
      <c r="H2743" s="21"/>
      <c r="I2743" s="21"/>
      <c r="J2743" s="21"/>
      <c r="K2743" s="21"/>
      <c r="L2743" s="21"/>
      <c r="M2743" s="7"/>
      <c r="N2743" s="7"/>
      <c r="O2743" s="7"/>
      <c r="P2743" s="7"/>
      <c r="Q2743" s="7"/>
      <c r="R2743" s="7"/>
      <c r="S2743" s="7"/>
      <c r="T2743" s="7"/>
      <c r="U2743" s="7"/>
      <c r="V2743" s="7"/>
      <c r="W2743" s="7"/>
      <c r="X2743" s="7"/>
      <c r="Y2743" s="7"/>
      <c r="Z2743" s="7"/>
      <c r="AA2743" s="7"/>
      <c r="AB2743" s="7"/>
      <c r="AC2743" s="7"/>
      <c r="AD2743" s="7"/>
      <c r="AE2743" s="7"/>
    </row>
    <row r="2744">
      <c r="A2744" s="7"/>
      <c r="B2744" s="21"/>
      <c r="C2744" s="21"/>
      <c r="D2744" s="21"/>
      <c r="E2744" s="21"/>
      <c r="F2744" s="21"/>
      <c r="G2744" s="21"/>
      <c r="H2744" s="21"/>
      <c r="I2744" s="21"/>
      <c r="J2744" s="21"/>
      <c r="K2744" s="21"/>
      <c r="L2744" s="21"/>
      <c r="M2744" s="7"/>
      <c r="N2744" s="7"/>
      <c r="O2744" s="7"/>
      <c r="P2744" s="7"/>
      <c r="Q2744" s="7"/>
      <c r="R2744" s="7"/>
      <c r="S2744" s="7"/>
      <c r="T2744" s="7"/>
      <c r="U2744" s="7"/>
      <c r="V2744" s="7"/>
      <c r="W2744" s="7"/>
      <c r="X2744" s="7"/>
      <c r="Y2744" s="7"/>
      <c r="Z2744" s="7"/>
      <c r="AA2744" s="7"/>
      <c r="AB2744" s="7"/>
      <c r="AC2744" s="7"/>
      <c r="AD2744" s="7"/>
      <c r="AE2744" s="7"/>
    </row>
    <row r="2745">
      <c r="A2745" s="7"/>
      <c r="B2745" s="21"/>
      <c r="C2745" s="21"/>
      <c r="D2745" s="21"/>
      <c r="E2745" s="21"/>
      <c r="F2745" s="21"/>
      <c r="G2745" s="21"/>
      <c r="H2745" s="21"/>
      <c r="I2745" s="21"/>
      <c r="J2745" s="21"/>
      <c r="K2745" s="21"/>
      <c r="L2745" s="21"/>
      <c r="M2745" s="7"/>
      <c r="N2745" s="7"/>
      <c r="O2745" s="7"/>
      <c r="P2745" s="7"/>
      <c r="Q2745" s="7"/>
      <c r="R2745" s="7"/>
      <c r="S2745" s="7"/>
      <c r="T2745" s="7"/>
      <c r="U2745" s="7"/>
      <c r="V2745" s="7"/>
      <c r="W2745" s="7"/>
      <c r="X2745" s="7"/>
      <c r="Y2745" s="7"/>
      <c r="Z2745" s="7"/>
      <c r="AA2745" s="7"/>
      <c r="AB2745" s="7"/>
      <c r="AC2745" s="7"/>
      <c r="AD2745" s="7"/>
      <c r="AE2745" s="7"/>
    </row>
    <row r="2746">
      <c r="A2746" s="7"/>
      <c r="B2746" s="21"/>
      <c r="C2746" s="21"/>
      <c r="D2746" s="21"/>
      <c r="E2746" s="21"/>
      <c r="F2746" s="21"/>
      <c r="G2746" s="21"/>
      <c r="H2746" s="21"/>
      <c r="I2746" s="21"/>
      <c r="J2746" s="21"/>
      <c r="K2746" s="21"/>
      <c r="L2746" s="21"/>
      <c r="M2746" s="7"/>
      <c r="N2746" s="7"/>
      <c r="O2746" s="7"/>
      <c r="P2746" s="7"/>
      <c r="Q2746" s="7"/>
      <c r="R2746" s="7"/>
      <c r="S2746" s="7"/>
      <c r="T2746" s="7"/>
      <c r="U2746" s="7"/>
      <c r="V2746" s="7"/>
      <c r="W2746" s="7"/>
      <c r="X2746" s="7"/>
      <c r="Y2746" s="7"/>
      <c r="Z2746" s="7"/>
      <c r="AA2746" s="7"/>
      <c r="AB2746" s="7"/>
      <c r="AC2746" s="7"/>
      <c r="AD2746" s="7"/>
      <c r="AE2746" s="7"/>
    </row>
    <row r="2747">
      <c r="A2747" s="7"/>
      <c r="B2747" s="21"/>
      <c r="C2747" s="21"/>
      <c r="D2747" s="21"/>
      <c r="E2747" s="21"/>
      <c r="F2747" s="21"/>
      <c r="G2747" s="21"/>
      <c r="H2747" s="21"/>
      <c r="I2747" s="21"/>
      <c r="J2747" s="21"/>
      <c r="K2747" s="21"/>
      <c r="L2747" s="21"/>
      <c r="M2747" s="7"/>
      <c r="N2747" s="7"/>
      <c r="O2747" s="7"/>
      <c r="P2747" s="7"/>
      <c r="Q2747" s="7"/>
      <c r="R2747" s="7"/>
      <c r="S2747" s="7"/>
      <c r="T2747" s="7"/>
      <c r="U2747" s="7"/>
      <c r="V2747" s="7"/>
      <c r="W2747" s="7"/>
      <c r="X2747" s="7"/>
      <c r="Y2747" s="7"/>
      <c r="Z2747" s="7"/>
      <c r="AA2747" s="7"/>
      <c r="AB2747" s="7"/>
      <c r="AC2747" s="7"/>
      <c r="AD2747" s="7"/>
      <c r="AE2747" s="7"/>
    </row>
    <row r="2748">
      <c r="A2748" s="7"/>
      <c r="B2748" s="21"/>
      <c r="C2748" s="21"/>
      <c r="D2748" s="21"/>
      <c r="E2748" s="21"/>
      <c r="F2748" s="21"/>
      <c r="G2748" s="21"/>
      <c r="H2748" s="21"/>
      <c r="I2748" s="21"/>
      <c r="J2748" s="21"/>
      <c r="K2748" s="21"/>
      <c r="L2748" s="21"/>
      <c r="M2748" s="7"/>
      <c r="N2748" s="7"/>
      <c r="O2748" s="7"/>
      <c r="P2748" s="7"/>
      <c r="Q2748" s="7"/>
      <c r="R2748" s="7"/>
      <c r="S2748" s="7"/>
      <c r="T2748" s="7"/>
      <c r="U2748" s="7"/>
      <c r="V2748" s="7"/>
      <c r="W2748" s="7"/>
      <c r="X2748" s="7"/>
      <c r="Y2748" s="7"/>
      <c r="Z2748" s="7"/>
      <c r="AA2748" s="7"/>
      <c r="AB2748" s="7"/>
      <c r="AC2748" s="7"/>
      <c r="AD2748" s="7"/>
      <c r="AE2748" s="7"/>
    </row>
    <row r="2749">
      <c r="A2749" s="7"/>
      <c r="B2749" s="21"/>
      <c r="C2749" s="21"/>
      <c r="D2749" s="21"/>
      <c r="E2749" s="21"/>
      <c r="F2749" s="21"/>
      <c r="G2749" s="21"/>
      <c r="H2749" s="21"/>
      <c r="I2749" s="21"/>
      <c r="J2749" s="21"/>
      <c r="K2749" s="21"/>
      <c r="L2749" s="21"/>
      <c r="M2749" s="7"/>
      <c r="N2749" s="7"/>
      <c r="O2749" s="7"/>
      <c r="P2749" s="7"/>
      <c r="Q2749" s="7"/>
      <c r="R2749" s="7"/>
      <c r="S2749" s="7"/>
      <c r="T2749" s="7"/>
      <c r="U2749" s="7"/>
      <c r="V2749" s="7"/>
      <c r="W2749" s="7"/>
      <c r="X2749" s="7"/>
      <c r="Y2749" s="7"/>
      <c r="Z2749" s="7"/>
      <c r="AA2749" s="7"/>
      <c r="AB2749" s="7"/>
      <c r="AC2749" s="7"/>
      <c r="AD2749" s="7"/>
      <c r="AE2749" s="7"/>
    </row>
    <row r="2750">
      <c r="A2750" s="7"/>
      <c r="B2750" s="21"/>
      <c r="C2750" s="21"/>
      <c r="D2750" s="21"/>
      <c r="E2750" s="21"/>
      <c r="F2750" s="21"/>
      <c r="G2750" s="21"/>
      <c r="H2750" s="21"/>
      <c r="I2750" s="21"/>
      <c r="J2750" s="21"/>
      <c r="K2750" s="21"/>
      <c r="L2750" s="21"/>
      <c r="M2750" s="7"/>
      <c r="N2750" s="7"/>
      <c r="O2750" s="7"/>
      <c r="P2750" s="7"/>
      <c r="Q2750" s="7"/>
      <c r="R2750" s="7"/>
      <c r="S2750" s="7"/>
      <c r="T2750" s="7"/>
      <c r="U2750" s="7"/>
      <c r="V2750" s="7"/>
      <c r="W2750" s="7"/>
      <c r="X2750" s="7"/>
      <c r="Y2750" s="7"/>
      <c r="Z2750" s="7"/>
      <c r="AA2750" s="7"/>
      <c r="AB2750" s="7"/>
      <c r="AC2750" s="7"/>
      <c r="AD2750" s="7"/>
      <c r="AE2750" s="7"/>
    </row>
    <row r="2751">
      <c r="A2751" s="7"/>
      <c r="B2751" s="21"/>
      <c r="C2751" s="21"/>
      <c r="D2751" s="21"/>
      <c r="E2751" s="21"/>
      <c r="F2751" s="21"/>
      <c r="G2751" s="21"/>
      <c r="H2751" s="21"/>
      <c r="I2751" s="21"/>
      <c r="J2751" s="21"/>
      <c r="K2751" s="21"/>
      <c r="L2751" s="21"/>
      <c r="M2751" s="7"/>
      <c r="N2751" s="7"/>
      <c r="O2751" s="7"/>
      <c r="P2751" s="7"/>
      <c r="Q2751" s="7"/>
      <c r="R2751" s="7"/>
      <c r="S2751" s="7"/>
      <c r="T2751" s="7"/>
      <c r="U2751" s="7"/>
      <c r="V2751" s="7"/>
      <c r="W2751" s="7"/>
      <c r="X2751" s="7"/>
      <c r="Y2751" s="7"/>
      <c r="Z2751" s="7"/>
      <c r="AA2751" s="7"/>
      <c r="AB2751" s="7"/>
      <c r="AC2751" s="7"/>
      <c r="AD2751" s="7"/>
      <c r="AE2751" s="7"/>
    </row>
    <row r="2752">
      <c r="A2752" s="7"/>
      <c r="B2752" s="21"/>
      <c r="C2752" s="21"/>
      <c r="D2752" s="21"/>
      <c r="E2752" s="21"/>
      <c r="F2752" s="21"/>
      <c r="G2752" s="21"/>
      <c r="H2752" s="21"/>
      <c r="I2752" s="21"/>
      <c r="J2752" s="21"/>
      <c r="K2752" s="21"/>
      <c r="L2752" s="21"/>
      <c r="M2752" s="7"/>
      <c r="N2752" s="7"/>
      <c r="O2752" s="7"/>
      <c r="P2752" s="7"/>
      <c r="Q2752" s="7"/>
      <c r="R2752" s="7"/>
      <c r="S2752" s="7"/>
      <c r="T2752" s="7"/>
      <c r="U2752" s="7"/>
      <c r="V2752" s="7"/>
      <c r="W2752" s="7"/>
      <c r="X2752" s="7"/>
      <c r="Y2752" s="7"/>
      <c r="Z2752" s="7"/>
      <c r="AA2752" s="7"/>
      <c r="AB2752" s="7"/>
      <c r="AC2752" s="7"/>
      <c r="AD2752" s="7"/>
      <c r="AE2752" s="7"/>
    </row>
    <row r="2753">
      <c r="A2753" s="7"/>
      <c r="B2753" s="21"/>
      <c r="C2753" s="21"/>
      <c r="D2753" s="21"/>
      <c r="E2753" s="21"/>
      <c r="F2753" s="21"/>
      <c r="G2753" s="21"/>
      <c r="H2753" s="21"/>
      <c r="I2753" s="21"/>
      <c r="J2753" s="21"/>
      <c r="K2753" s="21"/>
      <c r="L2753" s="21"/>
      <c r="M2753" s="7"/>
      <c r="N2753" s="7"/>
      <c r="O2753" s="7"/>
      <c r="P2753" s="7"/>
      <c r="Q2753" s="7"/>
      <c r="R2753" s="7"/>
      <c r="S2753" s="7"/>
      <c r="T2753" s="7"/>
      <c r="U2753" s="7"/>
      <c r="V2753" s="7"/>
      <c r="W2753" s="7"/>
      <c r="X2753" s="7"/>
      <c r="Y2753" s="7"/>
      <c r="Z2753" s="7"/>
      <c r="AA2753" s="7"/>
      <c r="AB2753" s="7"/>
      <c r="AC2753" s="7"/>
      <c r="AD2753" s="7"/>
      <c r="AE2753" s="7"/>
    </row>
    <row r="2754">
      <c r="A2754" s="7"/>
      <c r="B2754" s="21"/>
      <c r="C2754" s="21"/>
      <c r="D2754" s="21"/>
      <c r="E2754" s="21"/>
      <c r="F2754" s="21"/>
      <c r="G2754" s="21"/>
      <c r="H2754" s="21"/>
      <c r="I2754" s="21"/>
      <c r="J2754" s="21"/>
      <c r="K2754" s="21"/>
      <c r="L2754" s="21"/>
      <c r="M2754" s="7"/>
      <c r="N2754" s="7"/>
      <c r="O2754" s="7"/>
      <c r="P2754" s="7"/>
      <c r="Q2754" s="7"/>
      <c r="R2754" s="7"/>
      <c r="S2754" s="7"/>
      <c r="T2754" s="7"/>
      <c r="U2754" s="7"/>
      <c r="V2754" s="7"/>
      <c r="W2754" s="7"/>
      <c r="X2754" s="7"/>
      <c r="Y2754" s="7"/>
      <c r="Z2754" s="7"/>
      <c r="AA2754" s="7"/>
      <c r="AB2754" s="7"/>
      <c r="AC2754" s="7"/>
      <c r="AD2754" s="7"/>
      <c r="AE2754" s="7"/>
    </row>
    <row r="2755">
      <c r="A2755" s="7"/>
      <c r="B2755" s="21"/>
      <c r="C2755" s="21"/>
      <c r="D2755" s="21"/>
      <c r="E2755" s="21"/>
      <c r="F2755" s="21"/>
      <c r="G2755" s="21"/>
      <c r="H2755" s="21"/>
      <c r="I2755" s="21"/>
      <c r="J2755" s="21"/>
      <c r="K2755" s="21"/>
      <c r="L2755" s="21"/>
      <c r="M2755" s="7"/>
      <c r="N2755" s="7"/>
      <c r="O2755" s="7"/>
      <c r="P2755" s="7"/>
      <c r="Q2755" s="7"/>
      <c r="R2755" s="7"/>
      <c r="S2755" s="7"/>
      <c r="T2755" s="7"/>
      <c r="U2755" s="7"/>
      <c r="V2755" s="7"/>
      <c r="W2755" s="7"/>
      <c r="X2755" s="7"/>
      <c r="Y2755" s="7"/>
      <c r="Z2755" s="7"/>
      <c r="AA2755" s="7"/>
      <c r="AB2755" s="7"/>
      <c r="AC2755" s="7"/>
      <c r="AD2755" s="7"/>
      <c r="AE2755" s="7"/>
    </row>
    <row r="2756">
      <c r="A2756" s="7"/>
      <c r="B2756" s="21"/>
      <c r="C2756" s="21"/>
      <c r="D2756" s="21"/>
      <c r="E2756" s="21"/>
      <c r="F2756" s="21"/>
      <c r="G2756" s="21"/>
      <c r="H2756" s="21"/>
      <c r="I2756" s="21"/>
      <c r="J2756" s="21"/>
      <c r="K2756" s="21"/>
      <c r="L2756" s="21"/>
      <c r="M2756" s="7"/>
      <c r="N2756" s="7"/>
      <c r="O2756" s="7"/>
      <c r="P2756" s="7"/>
      <c r="Q2756" s="7"/>
      <c r="R2756" s="7"/>
      <c r="S2756" s="7"/>
      <c r="T2756" s="7"/>
      <c r="U2756" s="7"/>
      <c r="V2756" s="7"/>
      <c r="W2756" s="7"/>
      <c r="X2756" s="7"/>
      <c r="Y2756" s="7"/>
      <c r="Z2756" s="7"/>
      <c r="AA2756" s="7"/>
      <c r="AB2756" s="7"/>
      <c r="AC2756" s="7"/>
      <c r="AD2756" s="7"/>
      <c r="AE2756" s="7"/>
    </row>
    <row r="2757">
      <c r="A2757" s="7"/>
      <c r="B2757" s="21"/>
      <c r="C2757" s="21"/>
      <c r="D2757" s="21"/>
      <c r="E2757" s="21"/>
      <c r="F2757" s="21"/>
      <c r="G2757" s="21"/>
      <c r="H2757" s="21"/>
      <c r="I2757" s="21"/>
      <c r="J2757" s="21"/>
      <c r="K2757" s="21"/>
      <c r="L2757" s="21"/>
      <c r="M2757" s="7"/>
      <c r="N2757" s="7"/>
      <c r="O2757" s="7"/>
      <c r="P2757" s="7"/>
      <c r="Q2757" s="7"/>
      <c r="R2757" s="7"/>
      <c r="S2757" s="7"/>
      <c r="T2757" s="7"/>
      <c r="U2757" s="7"/>
      <c r="V2757" s="7"/>
      <c r="W2757" s="7"/>
      <c r="X2757" s="7"/>
      <c r="Y2757" s="7"/>
      <c r="Z2757" s="7"/>
      <c r="AA2757" s="7"/>
      <c r="AB2757" s="7"/>
      <c r="AC2757" s="7"/>
      <c r="AD2757" s="7"/>
      <c r="AE2757" s="7"/>
    </row>
    <row r="2758">
      <c r="A2758" s="7"/>
      <c r="B2758" s="21"/>
      <c r="C2758" s="21"/>
      <c r="D2758" s="21"/>
      <c r="E2758" s="21"/>
      <c r="F2758" s="21"/>
      <c r="G2758" s="21"/>
      <c r="H2758" s="21"/>
      <c r="I2758" s="21"/>
      <c r="J2758" s="21"/>
      <c r="K2758" s="21"/>
      <c r="L2758" s="21"/>
      <c r="M2758" s="7"/>
      <c r="N2758" s="7"/>
      <c r="O2758" s="7"/>
      <c r="P2758" s="7"/>
      <c r="Q2758" s="7"/>
      <c r="R2758" s="7"/>
      <c r="S2758" s="7"/>
      <c r="T2758" s="7"/>
      <c r="U2758" s="7"/>
      <c r="V2758" s="7"/>
      <c r="W2758" s="7"/>
      <c r="X2758" s="7"/>
      <c r="Y2758" s="7"/>
      <c r="Z2758" s="7"/>
      <c r="AA2758" s="7"/>
      <c r="AB2758" s="7"/>
      <c r="AC2758" s="7"/>
      <c r="AD2758" s="7"/>
      <c r="AE2758" s="7"/>
    </row>
    <row r="2759">
      <c r="A2759" s="7"/>
      <c r="B2759" s="21"/>
      <c r="C2759" s="21"/>
      <c r="D2759" s="21"/>
      <c r="E2759" s="21"/>
      <c r="F2759" s="21"/>
      <c r="G2759" s="21"/>
      <c r="H2759" s="21"/>
      <c r="I2759" s="21"/>
      <c r="J2759" s="21"/>
      <c r="K2759" s="21"/>
      <c r="L2759" s="21"/>
      <c r="M2759" s="7"/>
      <c r="N2759" s="7"/>
      <c r="O2759" s="7"/>
      <c r="P2759" s="7"/>
      <c r="Q2759" s="7"/>
      <c r="R2759" s="7"/>
      <c r="S2759" s="7"/>
      <c r="T2759" s="7"/>
      <c r="U2759" s="7"/>
      <c r="V2759" s="7"/>
      <c r="W2759" s="7"/>
      <c r="X2759" s="7"/>
      <c r="Y2759" s="7"/>
      <c r="Z2759" s="7"/>
      <c r="AA2759" s="7"/>
      <c r="AB2759" s="7"/>
      <c r="AC2759" s="7"/>
      <c r="AD2759" s="7"/>
      <c r="AE2759" s="7"/>
    </row>
    <row r="2760">
      <c r="A2760" s="7"/>
      <c r="B2760" s="21"/>
      <c r="C2760" s="21"/>
      <c r="D2760" s="21"/>
      <c r="E2760" s="21"/>
      <c r="F2760" s="21"/>
      <c r="G2760" s="21"/>
      <c r="H2760" s="21"/>
      <c r="I2760" s="21"/>
      <c r="J2760" s="21"/>
      <c r="K2760" s="21"/>
      <c r="L2760" s="21"/>
      <c r="M2760" s="7"/>
      <c r="N2760" s="7"/>
      <c r="O2760" s="7"/>
      <c r="P2760" s="7"/>
      <c r="Q2760" s="7"/>
      <c r="R2760" s="7"/>
      <c r="S2760" s="7"/>
      <c r="T2760" s="7"/>
      <c r="U2760" s="7"/>
      <c r="V2760" s="7"/>
      <c r="W2760" s="7"/>
      <c r="X2760" s="7"/>
      <c r="Y2760" s="7"/>
      <c r="Z2760" s="7"/>
      <c r="AA2760" s="7"/>
      <c r="AB2760" s="7"/>
      <c r="AC2760" s="7"/>
      <c r="AD2760" s="7"/>
      <c r="AE2760" s="7"/>
    </row>
    <row r="2761">
      <c r="A2761" s="7"/>
      <c r="B2761" s="21"/>
      <c r="C2761" s="21"/>
      <c r="D2761" s="21"/>
      <c r="E2761" s="21"/>
      <c r="F2761" s="21"/>
      <c r="G2761" s="21"/>
      <c r="H2761" s="21"/>
      <c r="I2761" s="21"/>
      <c r="J2761" s="21"/>
      <c r="K2761" s="21"/>
      <c r="L2761" s="21"/>
      <c r="M2761" s="7"/>
      <c r="N2761" s="7"/>
      <c r="O2761" s="7"/>
      <c r="P2761" s="7"/>
      <c r="Q2761" s="7"/>
      <c r="R2761" s="7"/>
      <c r="S2761" s="7"/>
      <c r="T2761" s="7"/>
      <c r="U2761" s="7"/>
      <c r="V2761" s="7"/>
      <c r="W2761" s="7"/>
      <c r="X2761" s="7"/>
      <c r="Y2761" s="7"/>
      <c r="Z2761" s="7"/>
      <c r="AA2761" s="7"/>
      <c r="AB2761" s="7"/>
      <c r="AC2761" s="7"/>
      <c r="AD2761" s="7"/>
      <c r="AE2761" s="7"/>
    </row>
    <row r="2762">
      <c r="A2762" s="7"/>
      <c r="B2762" s="21"/>
      <c r="C2762" s="21"/>
      <c r="D2762" s="21"/>
      <c r="E2762" s="21"/>
      <c r="F2762" s="21"/>
      <c r="G2762" s="21"/>
      <c r="H2762" s="21"/>
      <c r="I2762" s="21"/>
      <c r="J2762" s="21"/>
      <c r="K2762" s="21"/>
      <c r="L2762" s="21"/>
      <c r="M2762" s="7"/>
      <c r="N2762" s="7"/>
      <c r="O2762" s="7"/>
      <c r="P2762" s="7"/>
      <c r="Q2762" s="7"/>
      <c r="R2762" s="7"/>
      <c r="S2762" s="7"/>
      <c r="T2762" s="7"/>
      <c r="U2762" s="7"/>
      <c r="V2762" s="7"/>
      <c r="W2762" s="7"/>
      <c r="X2762" s="7"/>
      <c r="Y2762" s="7"/>
      <c r="Z2762" s="7"/>
      <c r="AA2762" s="7"/>
      <c r="AB2762" s="7"/>
      <c r="AC2762" s="7"/>
      <c r="AD2762" s="7"/>
      <c r="AE2762" s="7"/>
    </row>
    <row r="2763">
      <c r="A2763" s="7"/>
      <c r="B2763" s="21"/>
      <c r="C2763" s="21"/>
      <c r="D2763" s="21"/>
      <c r="E2763" s="21"/>
      <c r="F2763" s="21"/>
      <c r="G2763" s="21"/>
      <c r="H2763" s="21"/>
      <c r="I2763" s="21"/>
      <c r="J2763" s="21"/>
      <c r="K2763" s="21"/>
      <c r="L2763" s="21"/>
      <c r="M2763" s="7"/>
      <c r="N2763" s="7"/>
      <c r="O2763" s="7"/>
      <c r="P2763" s="7"/>
      <c r="Q2763" s="7"/>
      <c r="R2763" s="7"/>
      <c r="S2763" s="7"/>
      <c r="T2763" s="7"/>
      <c r="U2763" s="7"/>
      <c r="V2763" s="7"/>
      <c r="W2763" s="7"/>
      <c r="X2763" s="7"/>
      <c r="Y2763" s="7"/>
      <c r="Z2763" s="7"/>
      <c r="AA2763" s="7"/>
      <c r="AB2763" s="7"/>
      <c r="AC2763" s="7"/>
      <c r="AD2763" s="7"/>
      <c r="AE2763" s="7"/>
    </row>
    <row r="2764">
      <c r="A2764" s="7"/>
      <c r="B2764" s="21"/>
      <c r="C2764" s="21"/>
      <c r="D2764" s="21"/>
      <c r="E2764" s="21"/>
      <c r="F2764" s="21"/>
      <c r="G2764" s="21"/>
      <c r="H2764" s="21"/>
      <c r="I2764" s="21"/>
      <c r="J2764" s="21"/>
      <c r="K2764" s="21"/>
      <c r="L2764" s="21"/>
      <c r="M2764" s="7"/>
      <c r="N2764" s="7"/>
      <c r="O2764" s="7"/>
      <c r="P2764" s="7"/>
      <c r="Q2764" s="7"/>
      <c r="R2764" s="7"/>
      <c r="S2764" s="7"/>
      <c r="T2764" s="7"/>
      <c r="U2764" s="7"/>
      <c r="V2764" s="7"/>
      <c r="W2764" s="7"/>
      <c r="X2764" s="7"/>
      <c r="Y2764" s="7"/>
      <c r="Z2764" s="7"/>
      <c r="AA2764" s="7"/>
      <c r="AB2764" s="7"/>
      <c r="AC2764" s="7"/>
      <c r="AD2764" s="7"/>
      <c r="AE2764" s="7"/>
    </row>
    <row r="2765">
      <c r="A2765" s="7"/>
      <c r="B2765" s="21"/>
      <c r="C2765" s="21"/>
      <c r="D2765" s="21"/>
      <c r="E2765" s="21"/>
      <c r="F2765" s="21"/>
      <c r="G2765" s="21"/>
      <c r="H2765" s="21"/>
      <c r="I2765" s="21"/>
      <c r="J2765" s="21"/>
      <c r="K2765" s="21"/>
      <c r="L2765" s="21"/>
      <c r="M2765" s="7"/>
      <c r="N2765" s="7"/>
      <c r="O2765" s="7"/>
      <c r="P2765" s="7"/>
      <c r="Q2765" s="7"/>
      <c r="R2765" s="7"/>
      <c r="S2765" s="7"/>
      <c r="T2765" s="7"/>
      <c r="U2765" s="7"/>
      <c r="V2765" s="7"/>
      <c r="W2765" s="7"/>
      <c r="X2765" s="7"/>
      <c r="Y2765" s="7"/>
      <c r="Z2765" s="7"/>
      <c r="AA2765" s="7"/>
      <c r="AB2765" s="7"/>
      <c r="AC2765" s="7"/>
      <c r="AD2765" s="7"/>
      <c r="AE2765" s="7"/>
    </row>
    <row r="2766">
      <c r="A2766" s="7"/>
      <c r="B2766" s="21"/>
      <c r="C2766" s="21"/>
      <c r="D2766" s="21"/>
      <c r="E2766" s="21"/>
      <c r="F2766" s="21"/>
      <c r="G2766" s="21"/>
      <c r="H2766" s="21"/>
      <c r="I2766" s="21"/>
      <c r="J2766" s="21"/>
      <c r="K2766" s="21"/>
      <c r="L2766" s="21"/>
      <c r="M2766" s="7"/>
      <c r="N2766" s="7"/>
      <c r="O2766" s="7"/>
      <c r="P2766" s="7"/>
      <c r="Q2766" s="7"/>
      <c r="R2766" s="7"/>
      <c r="S2766" s="7"/>
      <c r="T2766" s="7"/>
      <c r="U2766" s="7"/>
      <c r="V2766" s="7"/>
      <c r="W2766" s="7"/>
      <c r="X2766" s="7"/>
      <c r="Y2766" s="7"/>
      <c r="Z2766" s="7"/>
      <c r="AA2766" s="7"/>
      <c r="AB2766" s="7"/>
      <c r="AC2766" s="7"/>
      <c r="AD2766" s="7"/>
      <c r="AE2766" s="7"/>
    </row>
    <row r="2767">
      <c r="A2767" s="7"/>
      <c r="B2767" s="21"/>
      <c r="C2767" s="21"/>
      <c r="D2767" s="21"/>
      <c r="E2767" s="21"/>
      <c r="F2767" s="21"/>
      <c r="G2767" s="21"/>
      <c r="H2767" s="21"/>
      <c r="I2767" s="21"/>
      <c r="J2767" s="21"/>
      <c r="K2767" s="21"/>
      <c r="L2767" s="21"/>
      <c r="M2767" s="7"/>
      <c r="N2767" s="7"/>
      <c r="O2767" s="7"/>
      <c r="P2767" s="7"/>
      <c r="Q2767" s="7"/>
      <c r="R2767" s="7"/>
      <c r="S2767" s="7"/>
      <c r="T2767" s="7"/>
      <c r="U2767" s="7"/>
      <c r="V2767" s="7"/>
      <c r="W2767" s="7"/>
      <c r="X2767" s="7"/>
      <c r="Y2767" s="7"/>
      <c r="Z2767" s="7"/>
      <c r="AA2767" s="7"/>
      <c r="AB2767" s="7"/>
      <c r="AC2767" s="7"/>
      <c r="AD2767" s="7"/>
      <c r="AE2767" s="7"/>
    </row>
    <row r="2768">
      <c r="A2768" s="7"/>
      <c r="B2768" s="21"/>
      <c r="C2768" s="21"/>
      <c r="D2768" s="21"/>
      <c r="E2768" s="21"/>
      <c r="F2768" s="21"/>
      <c r="G2768" s="21"/>
      <c r="H2768" s="21"/>
      <c r="I2768" s="21"/>
      <c r="J2768" s="21"/>
      <c r="K2768" s="21"/>
      <c r="L2768" s="21"/>
      <c r="M2768" s="7"/>
      <c r="N2768" s="7"/>
      <c r="O2768" s="7"/>
      <c r="P2768" s="7"/>
      <c r="Q2768" s="7"/>
      <c r="R2768" s="7"/>
      <c r="S2768" s="7"/>
      <c r="T2768" s="7"/>
      <c r="U2768" s="7"/>
      <c r="V2768" s="7"/>
      <c r="W2768" s="7"/>
      <c r="X2768" s="7"/>
      <c r="Y2768" s="7"/>
      <c r="Z2768" s="7"/>
      <c r="AA2768" s="7"/>
      <c r="AB2768" s="7"/>
      <c r="AC2768" s="7"/>
      <c r="AD2768" s="7"/>
      <c r="AE2768" s="7"/>
    </row>
    <row r="2769">
      <c r="A2769" s="7"/>
      <c r="B2769" s="21"/>
      <c r="C2769" s="21"/>
      <c r="D2769" s="21"/>
      <c r="E2769" s="21"/>
      <c r="F2769" s="21"/>
      <c r="G2769" s="21"/>
      <c r="H2769" s="21"/>
      <c r="I2769" s="21"/>
      <c r="J2769" s="21"/>
      <c r="K2769" s="21"/>
      <c r="L2769" s="21"/>
      <c r="M2769" s="7"/>
      <c r="N2769" s="7"/>
      <c r="O2769" s="7"/>
      <c r="P2769" s="7"/>
      <c r="Q2769" s="7"/>
      <c r="R2769" s="7"/>
      <c r="S2769" s="7"/>
      <c r="T2769" s="7"/>
      <c r="U2769" s="7"/>
      <c r="V2769" s="7"/>
      <c r="W2769" s="7"/>
      <c r="X2769" s="7"/>
      <c r="Y2769" s="7"/>
      <c r="Z2769" s="7"/>
      <c r="AA2769" s="7"/>
      <c r="AB2769" s="7"/>
      <c r="AC2769" s="7"/>
      <c r="AD2769" s="7"/>
      <c r="AE2769" s="7"/>
    </row>
    <row r="2770">
      <c r="A2770" s="7"/>
      <c r="B2770" s="21"/>
      <c r="C2770" s="21"/>
      <c r="D2770" s="21"/>
      <c r="E2770" s="21"/>
      <c r="F2770" s="21"/>
      <c r="G2770" s="21"/>
      <c r="H2770" s="21"/>
      <c r="I2770" s="21"/>
      <c r="J2770" s="21"/>
      <c r="K2770" s="21"/>
      <c r="L2770" s="21"/>
      <c r="M2770" s="7"/>
      <c r="N2770" s="7"/>
      <c r="O2770" s="7"/>
      <c r="P2770" s="7"/>
      <c r="Q2770" s="7"/>
      <c r="R2770" s="7"/>
      <c r="S2770" s="7"/>
      <c r="T2770" s="7"/>
      <c r="U2770" s="7"/>
      <c r="V2770" s="7"/>
      <c r="W2770" s="7"/>
      <c r="X2770" s="7"/>
      <c r="Y2770" s="7"/>
      <c r="Z2770" s="7"/>
      <c r="AA2770" s="7"/>
      <c r="AB2770" s="7"/>
      <c r="AC2770" s="7"/>
      <c r="AD2770" s="7"/>
      <c r="AE2770" s="7"/>
    </row>
    <row r="2771">
      <c r="A2771" s="7"/>
      <c r="B2771" s="21"/>
      <c r="C2771" s="21"/>
      <c r="D2771" s="21"/>
      <c r="E2771" s="21"/>
      <c r="F2771" s="21"/>
      <c r="G2771" s="21"/>
      <c r="H2771" s="21"/>
      <c r="I2771" s="21"/>
      <c r="J2771" s="21"/>
      <c r="K2771" s="21"/>
      <c r="L2771" s="21"/>
      <c r="M2771" s="7"/>
      <c r="N2771" s="7"/>
      <c r="O2771" s="7"/>
      <c r="P2771" s="7"/>
      <c r="Q2771" s="7"/>
      <c r="R2771" s="7"/>
      <c r="S2771" s="7"/>
      <c r="T2771" s="7"/>
      <c r="U2771" s="7"/>
      <c r="V2771" s="7"/>
      <c r="W2771" s="7"/>
      <c r="X2771" s="7"/>
      <c r="Y2771" s="7"/>
      <c r="Z2771" s="7"/>
      <c r="AA2771" s="7"/>
      <c r="AB2771" s="7"/>
      <c r="AC2771" s="7"/>
      <c r="AD2771" s="7"/>
      <c r="AE2771" s="7"/>
    </row>
    <row r="2772">
      <c r="A2772" s="7"/>
      <c r="B2772" s="21"/>
      <c r="C2772" s="21"/>
      <c r="D2772" s="21"/>
      <c r="E2772" s="21"/>
      <c r="F2772" s="21"/>
      <c r="G2772" s="21"/>
      <c r="H2772" s="21"/>
      <c r="I2772" s="21"/>
      <c r="J2772" s="21"/>
      <c r="K2772" s="21"/>
      <c r="L2772" s="21"/>
      <c r="M2772" s="7"/>
      <c r="N2772" s="7"/>
      <c r="O2772" s="7"/>
      <c r="P2772" s="7"/>
      <c r="Q2772" s="7"/>
      <c r="R2772" s="7"/>
      <c r="S2772" s="7"/>
      <c r="T2772" s="7"/>
      <c r="U2772" s="7"/>
      <c r="V2772" s="7"/>
      <c r="W2772" s="7"/>
      <c r="X2772" s="7"/>
      <c r="Y2772" s="7"/>
      <c r="Z2772" s="7"/>
      <c r="AA2772" s="7"/>
      <c r="AB2772" s="7"/>
      <c r="AC2772" s="7"/>
      <c r="AD2772" s="7"/>
      <c r="AE2772" s="7"/>
    </row>
    <row r="2773">
      <c r="A2773" s="7"/>
      <c r="B2773" s="21"/>
      <c r="C2773" s="21"/>
      <c r="D2773" s="21"/>
      <c r="E2773" s="21"/>
      <c r="F2773" s="21"/>
      <c r="G2773" s="21"/>
      <c r="H2773" s="21"/>
      <c r="I2773" s="21"/>
      <c r="J2773" s="21"/>
      <c r="K2773" s="21"/>
      <c r="L2773" s="21"/>
      <c r="M2773" s="7"/>
      <c r="N2773" s="7"/>
      <c r="O2773" s="7"/>
      <c r="P2773" s="7"/>
      <c r="Q2773" s="7"/>
      <c r="R2773" s="7"/>
      <c r="S2773" s="7"/>
      <c r="T2773" s="7"/>
      <c r="U2773" s="7"/>
      <c r="V2773" s="7"/>
      <c r="W2773" s="7"/>
      <c r="X2773" s="7"/>
      <c r="Y2773" s="7"/>
      <c r="Z2773" s="7"/>
      <c r="AA2773" s="7"/>
      <c r="AB2773" s="7"/>
      <c r="AC2773" s="7"/>
      <c r="AD2773" s="7"/>
      <c r="AE2773" s="7"/>
    </row>
    <row r="2774">
      <c r="A2774" s="7"/>
      <c r="B2774" s="21"/>
      <c r="C2774" s="21"/>
      <c r="D2774" s="21"/>
      <c r="E2774" s="21"/>
      <c r="F2774" s="21"/>
      <c r="G2774" s="21"/>
      <c r="H2774" s="21"/>
      <c r="I2774" s="21"/>
      <c r="J2774" s="21"/>
      <c r="K2774" s="21"/>
      <c r="L2774" s="21"/>
      <c r="M2774" s="7"/>
      <c r="N2774" s="7"/>
      <c r="O2774" s="7"/>
      <c r="P2774" s="7"/>
      <c r="Q2774" s="7"/>
      <c r="R2774" s="7"/>
      <c r="S2774" s="7"/>
      <c r="T2774" s="7"/>
      <c r="U2774" s="7"/>
      <c r="V2774" s="7"/>
      <c r="W2774" s="7"/>
      <c r="X2774" s="7"/>
      <c r="Y2774" s="7"/>
      <c r="Z2774" s="7"/>
      <c r="AA2774" s="7"/>
      <c r="AB2774" s="7"/>
      <c r="AC2774" s="7"/>
      <c r="AD2774" s="7"/>
      <c r="AE2774" s="7"/>
    </row>
    <row r="2775">
      <c r="A2775" s="7"/>
      <c r="B2775" s="21"/>
      <c r="C2775" s="21"/>
      <c r="D2775" s="21"/>
      <c r="E2775" s="21"/>
      <c r="F2775" s="21"/>
      <c r="G2775" s="21"/>
      <c r="H2775" s="21"/>
      <c r="I2775" s="21"/>
      <c r="J2775" s="21"/>
      <c r="K2775" s="21"/>
      <c r="L2775" s="21"/>
      <c r="M2775" s="7"/>
      <c r="N2775" s="7"/>
      <c r="O2775" s="7"/>
      <c r="P2775" s="7"/>
      <c r="Q2775" s="7"/>
      <c r="R2775" s="7"/>
      <c r="S2775" s="7"/>
      <c r="T2775" s="7"/>
      <c r="U2775" s="7"/>
      <c r="V2775" s="7"/>
      <c r="W2775" s="7"/>
      <c r="X2775" s="7"/>
      <c r="Y2775" s="7"/>
      <c r="Z2775" s="7"/>
      <c r="AA2775" s="7"/>
      <c r="AB2775" s="7"/>
      <c r="AC2775" s="7"/>
      <c r="AD2775" s="7"/>
      <c r="AE2775" s="7"/>
    </row>
    <row r="2776">
      <c r="A2776" s="7"/>
      <c r="B2776" s="21"/>
      <c r="C2776" s="21"/>
      <c r="D2776" s="21"/>
      <c r="E2776" s="21"/>
      <c r="F2776" s="21"/>
      <c r="G2776" s="21"/>
      <c r="H2776" s="21"/>
      <c r="I2776" s="21"/>
      <c r="J2776" s="21"/>
      <c r="K2776" s="21"/>
      <c r="L2776" s="21"/>
      <c r="M2776" s="7"/>
      <c r="N2776" s="7"/>
      <c r="O2776" s="7"/>
      <c r="P2776" s="7"/>
      <c r="Q2776" s="7"/>
      <c r="R2776" s="7"/>
      <c r="S2776" s="7"/>
      <c r="T2776" s="7"/>
      <c r="U2776" s="7"/>
      <c r="V2776" s="7"/>
      <c r="W2776" s="7"/>
      <c r="X2776" s="7"/>
      <c r="Y2776" s="7"/>
      <c r="Z2776" s="7"/>
      <c r="AA2776" s="7"/>
      <c r="AB2776" s="7"/>
      <c r="AC2776" s="7"/>
      <c r="AD2776" s="7"/>
      <c r="AE2776" s="7"/>
    </row>
    <row r="2777">
      <c r="A2777" s="7"/>
      <c r="B2777" s="21"/>
      <c r="C2777" s="21"/>
      <c r="D2777" s="21"/>
      <c r="E2777" s="21"/>
      <c r="F2777" s="21"/>
      <c r="G2777" s="21"/>
      <c r="H2777" s="21"/>
      <c r="I2777" s="21"/>
      <c r="J2777" s="21"/>
      <c r="K2777" s="21"/>
      <c r="L2777" s="21"/>
      <c r="M2777" s="7"/>
      <c r="N2777" s="7"/>
      <c r="O2777" s="7"/>
      <c r="P2777" s="7"/>
      <c r="Q2777" s="7"/>
      <c r="R2777" s="7"/>
      <c r="S2777" s="7"/>
      <c r="T2777" s="7"/>
      <c r="U2777" s="7"/>
      <c r="V2777" s="7"/>
      <c r="W2777" s="7"/>
      <c r="X2777" s="7"/>
      <c r="Y2777" s="7"/>
      <c r="Z2777" s="7"/>
      <c r="AA2777" s="7"/>
      <c r="AB2777" s="7"/>
      <c r="AC2777" s="7"/>
      <c r="AD2777" s="7"/>
      <c r="AE2777" s="7"/>
    </row>
    <row r="2778">
      <c r="A2778" s="7"/>
      <c r="B2778" s="21"/>
      <c r="C2778" s="21"/>
      <c r="D2778" s="21"/>
      <c r="E2778" s="21"/>
      <c r="F2778" s="21"/>
      <c r="G2778" s="21"/>
      <c r="H2778" s="21"/>
      <c r="I2778" s="21"/>
      <c r="J2778" s="21"/>
      <c r="K2778" s="21"/>
      <c r="L2778" s="21"/>
      <c r="M2778" s="7"/>
      <c r="N2778" s="7"/>
      <c r="O2778" s="7"/>
      <c r="P2778" s="7"/>
      <c r="Q2778" s="7"/>
      <c r="R2778" s="7"/>
      <c r="S2778" s="7"/>
      <c r="T2778" s="7"/>
      <c r="U2778" s="7"/>
      <c r="V2778" s="7"/>
      <c r="W2778" s="7"/>
      <c r="X2778" s="7"/>
      <c r="Y2778" s="7"/>
      <c r="Z2778" s="7"/>
      <c r="AA2778" s="7"/>
      <c r="AB2778" s="7"/>
      <c r="AC2778" s="7"/>
      <c r="AD2778" s="7"/>
      <c r="AE2778" s="7"/>
    </row>
    <row r="2779">
      <c r="A2779" s="7"/>
      <c r="B2779" s="21"/>
      <c r="C2779" s="21"/>
      <c r="D2779" s="21"/>
      <c r="E2779" s="21"/>
      <c r="F2779" s="21"/>
      <c r="G2779" s="21"/>
      <c r="H2779" s="21"/>
      <c r="I2779" s="21"/>
      <c r="J2779" s="21"/>
      <c r="K2779" s="21"/>
      <c r="L2779" s="21"/>
      <c r="M2779" s="7"/>
      <c r="N2779" s="7"/>
      <c r="O2779" s="7"/>
      <c r="P2779" s="7"/>
      <c r="Q2779" s="7"/>
      <c r="R2779" s="7"/>
      <c r="S2779" s="7"/>
      <c r="T2779" s="7"/>
      <c r="U2779" s="7"/>
      <c r="V2779" s="7"/>
      <c r="W2779" s="7"/>
      <c r="X2779" s="7"/>
      <c r="Y2779" s="7"/>
      <c r="Z2779" s="7"/>
      <c r="AA2779" s="7"/>
      <c r="AB2779" s="7"/>
      <c r="AC2779" s="7"/>
      <c r="AD2779" s="7"/>
      <c r="AE2779" s="7"/>
    </row>
    <row r="2780">
      <c r="A2780" s="7"/>
      <c r="B2780" s="21"/>
      <c r="C2780" s="21"/>
      <c r="D2780" s="21"/>
      <c r="E2780" s="21"/>
      <c r="F2780" s="21"/>
      <c r="G2780" s="21"/>
      <c r="H2780" s="21"/>
      <c r="I2780" s="21"/>
      <c r="J2780" s="21"/>
      <c r="K2780" s="21"/>
      <c r="L2780" s="21"/>
      <c r="M2780" s="7"/>
      <c r="N2780" s="7"/>
      <c r="O2780" s="7"/>
      <c r="P2780" s="7"/>
      <c r="Q2780" s="7"/>
      <c r="R2780" s="7"/>
      <c r="S2780" s="7"/>
      <c r="T2780" s="7"/>
      <c r="U2780" s="7"/>
      <c r="V2780" s="7"/>
      <c r="W2780" s="7"/>
      <c r="X2780" s="7"/>
      <c r="Y2780" s="7"/>
      <c r="Z2780" s="7"/>
      <c r="AA2780" s="7"/>
      <c r="AB2780" s="7"/>
      <c r="AC2780" s="7"/>
      <c r="AD2780" s="7"/>
      <c r="AE2780" s="7"/>
    </row>
    <row r="2781">
      <c r="A2781" s="7"/>
      <c r="B2781" s="21"/>
      <c r="C2781" s="21"/>
      <c r="D2781" s="21"/>
      <c r="E2781" s="21"/>
      <c r="F2781" s="21"/>
      <c r="G2781" s="21"/>
      <c r="H2781" s="21"/>
      <c r="I2781" s="21"/>
      <c r="J2781" s="21"/>
      <c r="K2781" s="21"/>
      <c r="L2781" s="21"/>
      <c r="M2781" s="7"/>
      <c r="N2781" s="7"/>
      <c r="O2781" s="7"/>
      <c r="P2781" s="7"/>
      <c r="Q2781" s="7"/>
      <c r="R2781" s="7"/>
      <c r="S2781" s="7"/>
      <c r="T2781" s="7"/>
      <c r="U2781" s="7"/>
      <c r="V2781" s="7"/>
      <c r="W2781" s="7"/>
      <c r="X2781" s="7"/>
      <c r="Y2781" s="7"/>
      <c r="Z2781" s="7"/>
      <c r="AA2781" s="7"/>
      <c r="AB2781" s="7"/>
      <c r="AC2781" s="7"/>
      <c r="AD2781" s="7"/>
      <c r="AE2781" s="7"/>
    </row>
    <row r="2782">
      <c r="A2782" s="7"/>
      <c r="B2782" s="21"/>
      <c r="C2782" s="21"/>
      <c r="D2782" s="21"/>
      <c r="E2782" s="21"/>
      <c r="F2782" s="21"/>
      <c r="G2782" s="21"/>
      <c r="H2782" s="21"/>
      <c r="I2782" s="21"/>
      <c r="J2782" s="21"/>
      <c r="K2782" s="21"/>
      <c r="L2782" s="21"/>
      <c r="M2782" s="7"/>
      <c r="N2782" s="7"/>
      <c r="O2782" s="7"/>
      <c r="P2782" s="7"/>
      <c r="Q2782" s="7"/>
      <c r="R2782" s="7"/>
      <c r="S2782" s="7"/>
      <c r="T2782" s="7"/>
      <c r="U2782" s="7"/>
      <c r="V2782" s="7"/>
      <c r="W2782" s="7"/>
      <c r="X2782" s="7"/>
      <c r="Y2782" s="7"/>
      <c r="Z2782" s="7"/>
      <c r="AA2782" s="7"/>
      <c r="AB2782" s="7"/>
      <c r="AC2782" s="7"/>
      <c r="AD2782" s="7"/>
      <c r="AE2782" s="7"/>
    </row>
    <row r="2783">
      <c r="A2783" s="7"/>
      <c r="B2783" s="21"/>
      <c r="C2783" s="21"/>
      <c r="D2783" s="21"/>
      <c r="E2783" s="21"/>
      <c r="F2783" s="21"/>
      <c r="G2783" s="21"/>
      <c r="H2783" s="21"/>
      <c r="I2783" s="21"/>
      <c r="J2783" s="21"/>
      <c r="K2783" s="21"/>
      <c r="L2783" s="21"/>
      <c r="M2783" s="7"/>
      <c r="N2783" s="7"/>
      <c r="O2783" s="7"/>
      <c r="P2783" s="7"/>
      <c r="Q2783" s="7"/>
      <c r="R2783" s="7"/>
      <c r="S2783" s="7"/>
      <c r="T2783" s="7"/>
      <c r="U2783" s="7"/>
      <c r="V2783" s="7"/>
      <c r="W2783" s="7"/>
      <c r="X2783" s="7"/>
      <c r="Y2783" s="7"/>
      <c r="Z2783" s="7"/>
      <c r="AA2783" s="7"/>
      <c r="AB2783" s="7"/>
      <c r="AC2783" s="7"/>
      <c r="AD2783" s="7"/>
      <c r="AE2783" s="7"/>
    </row>
    <row r="2784">
      <c r="A2784" s="7"/>
      <c r="B2784" s="21"/>
      <c r="C2784" s="21"/>
      <c r="D2784" s="21"/>
      <c r="E2784" s="21"/>
      <c r="F2784" s="21"/>
      <c r="G2784" s="21"/>
      <c r="H2784" s="21"/>
      <c r="I2784" s="21"/>
      <c r="J2784" s="21"/>
      <c r="K2784" s="21"/>
      <c r="L2784" s="21"/>
      <c r="M2784" s="7"/>
      <c r="N2784" s="7"/>
      <c r="O2784" s="7"/>
      <c r="P2784" s="7"/>
      <c r="Q2784" s="7"/>
      <c r="R2784" s="7"/>
      <c r="S2784" s="7"/>
      <c r="T2784" s="7"/>
      <c r="U2784" s="7"/>
      <c r="V2784" s="7"/>
      <c r="W2784" s="7"/>
      <c r="X2784" s="7"/>
      <c r="Y2784" s="7"/>
      <c r="Z2784" s="7"/>
      <c r="AA2784" s="7"/>
      <c r="AB2784" s="7"/>
      <c r="AC2784" s="7"/>
      <c r="AD2784" s="7"/>
      <c r="AE2784" s="7"/>
    </row>
    <row r="2785">
      <c r="A2785" s="7"/>
      <c r="B2785" s="21"/>
      <c r="C2785" s="21"/>
      <c r="D2785" s="21"/>
      <c r="E2785" s="21"/>
      <c r="F2785" s="21"/>
      <c r="G2785" s="21"/>
      <c r="H2785" s="21"/>
      <c r="I2785" s="21"/>
      <c r="J2785" s="21"/>
      <c r="K2785" s="21"/>
      <c r="L2785" s="21"/>
      <c r="M2785" s="7"/>
      <c r="N2785" s="7"/>
      <c r="O2785" s="7"/>
      <c r="P2785" s="7"/>
      <c r="Q2785" s="7"/>
      <c r="R2785" s="7"/>
      <c r="S2785" s="7"/>
      <c r="T2785" s="7"/>
      <c r="U2785" s="7"/>
      <c r="V2785" s="7"/>
      <c r="W2785" s="7"/>
      <c r="X2785" s="7"/>
      <c r="Y2785" s="7"/>
      <c r="Z2785" s="7"/>
      <c r="AA2785" s="7"/>
      <c r="AB2785" s="7"/>
      <c r="AC2785" s="7"/>
      <c r="AD2785" s="7"/>
      <c r="AE2785" s="7"/>
    </row>
    <row r="2786">
      <c r="A2786" s="7"/>
      <c r="B2786" s="21"/>
      <c r="C2786" s="21"/>
      <c r="D2786" s="21"/>
      <c r="E2786" s="21"/>
      <c r="F2786" s="21"/>
      <c r="G2786" s="21"/>
      <c r="H2786" s="21"/>
      <c r="I2786" s="21"/>
      <c r="J2786" s="21"/>
      <c r="K2786" s="21"/>
      <c r="L2786" s="21"/>
      <c r="M2786" s="7"/>
      <c r="N2786" s="7"/>
      <c r="O2786" s="7"/>
      <c r="P2786" s="7"/>
      <c r="Q2786" s="7"/>
      <c r="R2786" s="7"/>
      <c r="S2786" s="7"/>
      <c r="T2786" s="7"/>
      <c r="U2786" s="7"/>
      <c r="V2786" s="7"/>
      <c r="W2786" s="7"/>
      <c r="X2786" s="7"/>
      <c r="Y2786" s="7"/>
      <c r="Z2786" s="7"/>
      <c r="AA2786" s="7"/>
      <c r="AB2786" s="7"/>
      <c r="AC2786" s="7"/>
      <c r="AD2786" s="7"/>
      <c r="AE2786" s="7"/>
    </row>
    <row r="2787">
      <c r="A2787" s="7"/>
      <c r="B2787" s="21"/>
      <c r="C2787" s="21"/>
      <c r="D2787" s="21"/>
      <c r="E2787" s="21"/>
      <c r="F2787" s="21"/>
      <c r="G2787" s="21"/>
      <c r="H2787" s="21"/>
      <c r="I2787" s="21"/>
      <c r="J2787" s="21"/>
      <c r="K2787" s="21"/>
      <c r="L2787" s="21"/>
      <c r="M2787" s="7"/>
      <c r="N2787" s="7"/>
      <c r="O2787" s="7"/>
      <c r="P2787" s="7"/>
      <c r="Q2787" s="7"/>
      <c r="R2787" s="7"/>
      <c r="S2787" s="7"/>
      <c r="T2787" s="7"/>
      <c r="U2787" s="7"/>
      <c r="V2787" s="7"/>
      <c r="W2787" s="7"/>
      <c r="X2787" s="7"/>
      <c r="Y2787" s="7"/>
      <c r="Z2787" s="7"/>
      <c r="AA2787" s="7"/>
      <c r="AB2787" s="7"/>
      <c r="AC2787" s="7"/>
      <c r="AD2787" s="7"/>
      <c r="AE2787" s="7"/>
    </row>
    <row r="2788">
      <c r="A2788" s="7"/>
      <c r="B2788" s="21"/>
      <c r="C2788" s="21"/>
      <c r="D2788" s="21"/>
      <c r="E2788" s="21"/>
      <c r="F2788" s="21"/>
      <c r="G2788" s="21"/>
      <c r="H2788" s="21"/>
      <c r="I2788" s="21"/>
      <c r="J2788" s="21"/>
      <c r="K2788" s="21"/>
      <c r="L2788" s="21"/>
      <c r="M2788" s="7"/>
      <c r="N2788" s="7"/>
      <c r="O2788" s="7"/>
      <c r="P2788" s="7"/>
      <c r="Q2788" s="7"/>
      <c r="R2788" s="7"/>
      <c r="S2788" s="7"/>
      <c r="T2788" s="7"/>
      <c r="U2788" s="7"/>
      <c r="V2788" s="7"/>
      <c r="W2788" s="7"/>
      <c r="X2788" s="7"/>
      <c r="Y2788" s="7"/>
      <c r="Z2788" s="7"/>
      <c r="AA2788" s="7"/>
      <c r="AB2788" s="7"/>
      <c r="AC2788" s="7"/>
      <c r="AD2788" s="7"/>
      <c r="AE2788" s="7"/>
    </row>
    <row r="2789">
      <c r="A2789" s="7"/>
      <c r="B2789" s="21"/>
      <c r="C2789" s="21"/>
      <c r="D2789" s="21"/>
      <c r="E2789" s="21"/>
      <c r="F2789" s="21"/>
      <c r="G2789" s="21"/>
      <c r="H2789" s="21"/>
      <c r="I2789" s="21"/>
      <c r="J2789" s="21"/>
      <c r="K2789" s="21"/>
      <c r="L2789" s="21"/>
      <c r="M2789" s="7"/>
      <c r="N2789" s="7"/>
      <c r="O2789" s="7"/>
      <c r="P2789" s="7"/>
      <c r="Q2789" s="7"/>
      <c r="R2789" s="7"/>
      <c r="S2789" s="7"/>
      <c r="T2789" s="7"/>
      <c r="U2789" s="7"/>
      <c r="V2789" s="7"/>
      <c r="W2789" s="7"/>
      <c r="X2789" s="7"/>
      <c r="Y2789" s="7"/>
      <c r="Z2789" s="7"/>
      <c r="AA2789" s="7"/>
      <c r="AB2789" s="7"/>
      <c r="AC2789" s="7"/>
      <c r="AD2789" s="7"/>
      <c r="AE2789" s="7"/>
    </row>
    <row r="2790">
      <c r="A2790" s="7"/>
      <c r="B2790" s="21"/>
      <c r="C2790" s="21"/>
      <c r="D2790" s="21"/>
      <c r="E2790" s="21"/>
      <c r="F2790" s="21"/>
      <c r="G2790" s="21"/>
      <c r="H2790" s="21"/>
      <c r="I2790" s="21"/>
      <c r="J2790" s="21"/>
      <c r="K2790" s="21"/>
      <c r="L2790" s="21"/>
      <c r="M2790" s="7"/>
      <c r="N2790" s="7"/>
      <c r="O2790" s="7"/>
      <c r="P2790" s="7"/>
      <c r="Q2790" s="7"/>
      <c r="R2790" s="7"/>
      <c r="S2790" s="7"/>
      <c r="T2790" s="7"/>
      <c r="U2790" s="7"/>
      <c r="V2790" s="7"/>
      <c r="W2790" s="7"/>
      <c r="X2790" s="7"/>
      <c r="Y2790" s="7"/>
      <c r="Z2790" s="7"/>
      <c r="AA2790" s="7"/>
      <c r="AB2790" s="7"/>
      <c r="AC2790" s="7"/>
      <c r="AD2790" s="7"/>
      <c r="AE2790" s="7"/>
    </row>
    <row r="2791">
      <c r="A2791" s="7"/>
      <c r="B2791" s="21"/>
      <c r="C2791" s="21"/>
      <c r="D2791" s="21"/>
      <c r="E2791" s="21"/>
      <c r="F2791" s="21"/>
      <c r="G2791" s="21"/>
      <c r="H2791" s="21"/>
      <c r="I2791" s="21"/>
      <c r="J2791" s="21"/>
      <c r="K2791" s="21"/>
      <c r="L2791" s="21"/>
      <c r="M2791" s="7"/>
      <c r="N2791" s="7"/>
      <c r="O2791" s="7"/>
      <c r="P2791" s="7"/>
      <c r="Q2791" s="7"/>
      <c r="R2791" s="7"/>
      <c r="S2791" s="7"/>
      <c r="T2791" s="7"/>
      <c r="U2791" s="7"/>
      <c r="V2791" s="7"/>
      <c r="W2791" s="7"/>
      <c r="X2791" s="7"/>
      <c r="Y2791" s="7"/>
      <c r="Z2791" s="7"/>
      <c r="AA2791" s="7"/>
      <c r="AB2791" s="7"/>
      <c r="AC2791" s="7"/>
      <c r="AD2791" s="7"/>
      <c r="AE2791" s="7"/>
    </row>
    <row r="2792">
      <c r="A2792" s="7"/>
      <c r="B2792" s="21"/>
      <c r="C2792" s="21"/>
      <c r="D2792" s="21"/>
      <c r="E2792" s="21"/>
      <c r="F2792" s="21"/>
      <c r="G2792" s="21"/>
      <c r="H2792" s="21"/>
      <c r="I2792" s="21"/>
      <c r="J2792" s="21"/>
      <c r="K2792" s="21"/>
      <c r="L2792" s="21"/>
      <c r="M2792" s="7"/>
      <c r="N2792" s="7"/>
      <c r="O2792" s="7"/>
      <c r="P2792" s="7"/>
      <c r="Q2792" s="7"/>
      <c r="R2792" s="7"/>
      <c r="S2792" s="7"/>
      <c r="T2792" s="7"/>
      <c r="U2792" s="7"/>
      <c r="V2792" s="7"/>
      <c r="W2792" s="7"/>
      <c r="X2792" s="7"/>
      <c r="Y2792" s="7"/>
      <c r="Z2792" s="7"/>
      <c r="AA2792" s="7"/>
      <c r="AB2792" s="7"/>
      <c r="AC2792" s="7"/>
      <c r="AD2792" s="7"/>
      <c r="AE2792" s="7"/>
    </row>
    <row r="2793">
      <c r="A2793" s="7"/>
      <c r="B2793" s="21"/>
      <c r="C2793" s="21"/>
      <c r="D2793" s="21"/>
      <c r="E2793" s="21"/>
      <c r="F2793" s="21"/>
      <c r="G2793" s="21"/>
      <c r="H2793" s="21"/>
      <c r="I2793" s="21"/>
      <c r="J2793" s="21"/>
      <c r="K2793" s="21"/>
      <c r="L2793" s="21"/>
      <c r="M2793" s="7"/>
      <c r="N2793" s="7"/>
      <c r="O2793" s="7"/>
      <c r="P2793" s="7"/>
      <c r="Q2793" s="7"/>
      <c r="R2793" s="7"/>
      <c r="S2793" s="7"/>
      <c r="T2793" s="7"/>
      <c r="U2793" s="7"/>
      <c r="V2793" s="7"/>
      <c r="W2793" s="7"/>
      <c r="X2793" s="7"/>
      <c r="Y2793" s="7"/>
      <c r="Z2793" s="7"/>
      <c r="AA2793" s="7"/>
      <c r="AB2793" s="7"/>
      <c r="AC2793" s="7"/>
      <c r="AD2793" s="7"/>
      <c r="AE2793" s="7"/>
    </row>
    <row r="2794">
      <c r="A2794" s="7"/>
      <c r="B2794" s="21"/>
      <c r="C2794" s="21"/>
      <c r="D2794" s="21"/>
      <c r="E2794" s="21"/>
      <c r="F2794" s="21"/>
      <c r="G2794" s="21"/>
      <c r="H2794" s="21"/>
      <c r="I2794" s="21"/>
      <c r="J2794" s="21"/>
      <c r="K2794" s="21"/>
      <c r="L2794" s="21"/>
      <c r="M2794" s="7"/>
      <c r="N2794" s="7"/>
      <c r="O2794" s="7"/>
      <c r="P2794" s="7"/>
      <c r="Q2794" s="7"/>
      <c r="R2794" s="7"/>
      <c r="S2794" s="7"/>
      <c r="T2794" s="7"/>
      <c r="U2794" s="7"/>
      <c r="V2794" s="7"/>
      <c r="W2794" s="7"/>
      <c r="X2794" s="7"/>
      <c r="Y2794" s="7"/>
      <c r="Z2794" s="7"/>
      <c r="AA2794" s="7"/>
      <c r="AB2794" s="7"/>
      <c r="AC2794" s="7"/>
      <c r="AD2794" s="7"/>
      <c r="AE2794" s="7"/>
    </row>
    <row r="2795">
      <c r="A2795" s="7"/>
      <c r="B2795" s="21"/>
      <c r="C2795" s="21"/>
      <c r="D2795" s="21"/>
      <c r="E2795" s="21"/>
      <c r="F2795" s="21"/>
      <c r="G2795" s="21"/>
      <c r="H2795" s="21"/>
      <c r="I2795" s="21"/>
      <c r="J2795" s="21"/>
      <c r="K2795" s="21"/>
      <c r="L2795" s="21"/>
      <c r="M2795" s="7"/>
      <c r="N2795" s="7"/>
      <c r="O2795" s="7"/>
      <c r="P2795" s="7"/>
      <c r="Q2795" s="7"/>
      <c r="R2795" s="7"/>
      <c r="S2795" s="7"/>
      <c r="T2795" s="7"/>
      <c r="U2795" s="7"/>
      <c r="V2795" s="7"/>
      <c r="W2795" s="7"/>
      <c r="X2795" s="7"/>
      <c r="Y2795" s="7"/>
      <c r="Z2795" s="7"/>
      <c r="AA2795" s="7"/>
      <c r="AB2795" s="7"/>
      <c r="AC2795" s="7"/>
      <c r="AD2795" s="7"/>
      <c r="AE2795" s="7"/>
    </row>
    <row r="2796">
      <c r="A2796" s="7"/>
      <c r="B2796" s="21"/>
      <c r="C2796" s="21"/>
      <c r="D2796" s="21"/>
      <c r="E2796" s="21"/>
      <c r="F2796" s="21"/>
      <c r="G2796" s="21"/>
      <c r="H2796" s="21"/>
      <c r="I2796" s="21"/>
      <c r="J2796" s="21"/>
      <c r="K2796" s="21"/>
      <c r="L2796" s="21"/>
      <c r="M2796" s="7"/>
      <c r="N2796" s="7"/>
      <c r="O2796" s="7"/>
      <c r="P2796" s="7"/>
      <c r="Q2796" s="7"/>
      <c r="R2796" s="7"/>
      <c r="S2796" s="7"/>
      <c r="T2796" s="7"/>
      <c r="U2796" s="7"/>
      <c r="V2796" s="7"/>
      <c r="W2796" s="7"/>
      <c r="X2796" s="7"/>
      <c r="Y2796" s="7"/>
      <c r="Z2796" s="7"/>
      <c r="AA2796" s="7"/>
      <c r="AB2796" s="7"/>
      <c r="AC2796" s="7"/>
      <c r="AD2796" s="7"/>
      <c r="AE2796" s="7"/>
    </row>
    <row r="2797">
      <c r="A2797" s="7"/>
      <c r="B2797" s="21"/>
      <c r="C2797" s="21"/>
      <c r="D2797" s="21"/>
      <c r="E2797" s="21"/>
      <c r="F2797" s="21"/>
      <c r="G2797" s="21"/>
      <c r="H2797" s="21"/>
      <c r="I2797" s="21"/>
      <c r="J2797" s="21"/>
      <c r="K2797" s="21"/>
      <c r="L2797" s="21"/>
      <c r="M2797" s="7"/>
      <c r="N2797" s="7"/>
      <c r="O2797" s="7"/>
      <c r="P2797" s="7"/>
      <c r="Q2797" s="7"/>
      <c r="R2797" s="7"/>
      <c r="S2797" s="7"/>
      <c r="T2797" s="7"/>
      <c r="U2797" s="7"/>
      <c r="V2797" s="7"/>
      <c r="W2797" s="7"/>
      <c r="X2797" s="7"/>
      <c r="Y2797" s="7"/>
      <c r="Z2797" s="7"/>
      <c r="AA2797" s="7"/>
      <c r="AB2797" s="7"/>
      <c r="AC2797" s="7"/>
      <c r="AD2797" s="7"/>
      <c r="AE2797" s="7"/>
    </row>
    <row r="2798">
      <c r="A2798" s="7"/>
      <c r="B2798" s="21"/>
      <c r="C2798" s="21"/>
      <c r="D2798" s="21"/>
      <c r="E2798" s="21"/>
      <c r="F2798" s="21"/>
      <c r="G2798" s="21"/>
      <c r="H2798" s="21"/>
      <c r="I2798" s="21"/>
      <c r="J2798" s="21"/>
      <c r="K2798" s="21"/>
      <c r="L2798" s="21"/>
      <c r="M2798" s="7"/>
      <c r="N2798" s="7"/>
      <c r="O2798" s="7"/>
      <c r="P2798" s="7"/>
      <c r="Q2798" s="7"/>
      <c r="R2798" s="7"/>
      <c r="S2798" s="7"/>
      <c r="T2798" s="7"/>
      <c r="U2798" s="7"/>
      <c r="V2798" s="7"/>
      <c r="W2798" s="7"/>
      <c r="X2798" s="7"/>
      <c r="Y2798" s="7"/>
      <c r="Z2798" s="7"/>
      <c r="AA2798" s="7"/>
      <c r="AB2798" s="7"/>
      <c r="AC2798" s="7"/>
      <c r="AD2798" s="7"/>
      <c r="AE2798" s="7"/>
    </row>
    <row r="2799">
      <c r="A2799" s="7"/>
      <c r="B2799" s="21"/>
      <c r="C2799" s="21"/>
      <c r="D2799" s="21"/>
      <c r="E2799" s="21"/>
      <c r="F2799" s="21"/>
      <c r="G2799" s="21"/>
      <c r="H2799" s="21"/>
      <c r="I2799" s="21"/>
      <c r="J2799" s="21"/>
      <c r="K2799" s="21"/>
      <c r="L2799" s="21"/>
      <c r="M2799" s="7"/>
      <c r="N2799" s="7"/>
      <c r="O2799" s="7"/>
      <c r="P2799" s="7"/>
      <c r="Q2799" s="7"/>
      <c r="R2799" s="7"/>
      <c r="S2799" s="7"/>
      <c r="T2799" s="7"/>
      <c r="U2799" s="7"/>
      <c r="V2799" s="7"/>
      <c r="W2799" s="7"/>
      <c r="X2799" s="7"/>
      <c r="Y2799" s="7"/>
      <c r="Z2799" s="7"/>
      <c r="AA2799" s="7"/>
      <c r="AB2799" s="7"/>
      <c r="AC2799" s="7"/>
      <c r="AD2799" s="7"/>
      <c r="AE2799" s="7"/>
    </row>
    <row r="2800">
      <c r="A2800" s="7"/>
      <c r="B2800" s="21"/>
      <c r="C2800" s="21"/>
      <c r="D2800" s="21"/>
      <c r="E2800" s="21"/>
      <c r="F2800" s="21"/>
      <c r="G2800" s="21"/>
      <c r="H2800" s="21"/>
      <c r="I2800" s="21"/>
      <c r="J2800" s="21"/>
      <c r="K2800" s="21"/>
      <c r="L2800" s="21"/>
      <c r="M2800" s="7"/>
      <c r="N2800" s="7"/>
      <c r="O2800" s="7"/>
      <c r="P2800" s="7"/>
      <c r="Q2800" s="7"/>
      <c r="R2800" s="7"/>
      <c r="S2800" s="7"/>
      <c r="T2800" s="7"/>
      <c r="U2800" s="7"/>
      <c r="V2800" s="7"/>
      <c r="W2800" s="7"/>
      <c r="X2800" s="7"/>
      <c r="Y2800" s="7"/>
      <c r="Z2800" s="7"/>
      <c r="AA2800" s="7"/>
      <c r="AB2800" s="7"/>
      <c r="AC2800" s="7"/>
      <c r="AD2800" s="7"/>
      <c r="AE2800" s="7"/>
    </row>
    <row r="2801">
      <c r="A2801" s="7"/>
      <c r="B2801" s="21"/>
      <c r="C2801" s="21"/>
      <c r="D2801" s="21"/>
      <c r="E2801" s="21"/>
      <c r="F2801" s="21"/>
      <c r="G2801" s="21"/>
      <c r="H2801" s="21"/>
      <c r="I2801" s="21"/>
      <c r="J2801" s="21"/>
      <c r="K2801" s="21"/>
      <c r="L2801" s="21"/>
      <c r="M2801" s="7"/>
      <c r="N2801" s="7"/>
      <c r="O2801" s="7"/>
      <c r="P2801" s="7"/>
      <c r="Q2801" s="7"/>
      <c r="R2801" s="7"/>
      <c r="S2801" s="7"/>
      <c r="T2801" s="7"/>
      <c r="U2801" s="7"/>
      <c r="V2801" s="7"/>
      <c r="W2801" s="7"/>
      <c r="X2801" s="7"/>
      <c r="Y2801" s="7"/>
      <c r="Z2801" s="7"/>
      <c r="AA2801" s="7"/>
      <c r="AB2801" s="7"/>
      <c r="AC2801" s="7"/>
      <c r="AD2801" s="7"/>
      <c r="AE2801" s="7"/>
    </row>
    <row r="2802">
      <c r="A2802" s="7"/>
      <c r="B2802" s="21"/>
      <c r="C2802" s="21"/>
      <c r="D2802" s="21"/>
      <c r="E2802" s="21"/>
      <c r="F2802" s="21"/>
      <c r="G2802" s="21"/>
      <c r="H2802" s="21"/>
      <c r="I2802" s="21"/>
      <c r="J2802" s="21"/>
      <c r="K2802" s="21"/>
      <c r="L2802" s="21"/>
      <c r="M2802" s="7"/>
      <c r="N2802" s="7"/>
      <c r="O2802" s="7"/>
      <c r="P2802" s="7"/>
      <c r="Q2802" s="7"/>
      <c r="R2802" s="7"/>
      <c r="S2802" s="7"/>
      <c r="T2802" s="7"/>
      <c r="U2802" s="7"/>
      <c r="V2802" s="7"/>
      <c r="W2802" s="7"/>
      <c r="X2802" s="7"/>
      <c r="Y2802" s="7"/>
      <c r="Z2802" s="7"/>
      <c r="AA2802" s="7"/>
      <c r="AB2802" s="7"/>
      <c r="AC2802" s="7"/>
      <c r="AD2802" s="7"/>
      <c r="AE2802" s="7"/>
    </row>
    <row r="2803">
      <c r="A2803" s="7"/>
      <c r="B2803" s="21"/>
      <c r="C2803" s="21"/>
      <c r="D2803" s="21"/>
      <c r="E2803" s="21"/>
      <c r="F2803" s="21"/>
      <c r="G2803" s="21"/>
      <c r="H2803" s="21"/>
      <c r="I2803" s="21"/>
      <c r="J2803" s="21"/>
      <c r="K2803" s="21"/>
      <c r="L2803" s="21"/>
      <c r="M2803" s="7"/>
      <c r="N2803" s="7"/>
      <c r="O2803" s="7"/>
      <c r="P2803" s="7"/>
      <c r="Q2803" s="7"/>
      <c r="R2803" s="7"/>
      <c r="S2803" s="7"/>
      <c r="T2803" s="7"/>
      <c r="U2803" s="7"/>
      <c r="V2803" s="7"/>
      <c r="W2803" s="7"/>
      <c r="X2803" s="7"/>
      <c r="Y2803" s="7"/>
      <c r="Z2803" s="7"/>
      <c r="AA2803" s="7"/>
      <c r="AB2803" s="7"/>
      <c r="AC2803" s="7"/>
      <c r="AD2803" s="7"/>
      <c r="AE2803" s="7"/>
    </row>
    <row r="2804">
      <c r="A2804" s="7"/>
      <c r="B2804" s="21"/>
      <c r="C2804" s="21"/>
      <c r="D2804" s="21"/>
      <c r="E2804" s="21"/>
      <c r="F2804" s="21"/>
      <c r="G2804" s="21"/>
      <c r="H2804" s="21"/>
      <c r="I2804" s="21"/>
      <c r="J2804" s="21"/>
      <c r="K2804" s="21"/>
      <c r="L2804" s="21"/>
      <c r="M2804" s="7"/>
      <c r="N2804" s="7"/>
      <c r="O2804" s="7"/>
      <c r="P2804" s="7"/>
      <c r="Q2804" s="7"/>
      <c r="R2804" s="7"/>
      <c r="S2804" s="7"/>
      <c r="T2804" s="7"/>
      <c r="U2804" s="7"/>
      <c r="V2804" s="7"/>
      <c r="W2804" s="7"/>
      <c r="X2804" s="7"/>
      <c r="Y2804" s="7"/>
      <c r="Z2804" s="7"/>
      <c r="AA2804" s="7"/>
      <c r="AB2804" s="7"/>
      <c r="AC2804" s="7"/>
      <c r="AD2804" s="7"/>
      <c r="AE2804" s="7"/>
    </row>
    <row r="2805">
      <c r="A2805" s="7"/>
      <c r="B2805" s="21"/>
      <c r="C2805" s="21"/>
      <c r="D2805" s="21"/>
      <c r="E2805" s="21"/>
      <c r="F2805" s="21"/>
      <c r="G2805" s="21"/>
      <c r="H2805" s="21"/>
      <c r="I2805" s="21"/>
      <c r="J2805" s="21"/>
      <c r="K2805" s="21"/>
      <c r="L2805" s="21"/>
      <c r="M2805" s="7"/>
      <c r="N2805" s="7"/>
      <c r="O2805" s="7"/>
      <c r="P2805" s="7"/>
      <c r="Q2805" s="7"/>
      <c r="R2805" s="7"/>
      <c r="S2805" s="7"/>
      <c r="T2805" s="7"/>
      <c r="U2805" s="7"/>
      <c r="V2805" s="7"/>
      <c r="W2805" s="7"/>
      <c r="X2805" s="7"/>
      <c r="Y2805" s="7"/>
      <c r="Z2805" s="7"/>
      <c r="AA2805" s="7"/>
      <c r="AB2805" s="7"/>
      <c r="AC2805" s="7"/>
      <c r="AD2805" s="7"/>
      <c r="AE2805" s="7"/>
    </row>
    <row r="2806">
      <c r="A2806" s="7"/>
      <c r="B2806" s="21"/>
      <c r="C2806" s="21"/>
      <c r="D2806" s="21"/>
      <c r="E2806" s="21"/>
      <c r="F2806" s="21"/>
      <c r="G2806" s="21"/>
      <c r="H2806" s="21"/>
      <c r="I2806" s="21"/>
      <c r="J2806" s="21"/>
      <c r="K2806" s="21"/>
      <c r="L2806" s="21"/>
      <c r="M2806" s="7"/>
      <c r="N2806" s="7"/>
      <c r="O2806" s="7"/>
      <c r="P2806" s="7"/>
      <c r="Q2806" s="7"/>
      <c r="R2806" s="7"/>
      <c r="S2806" s="7"/>
      <c r="T2806" s="7"/>
      <c r="U2806" s="7"/>
      <c r="V2806" s="7"/>
      <c r="W2806" s="7"/>
      <c r="X2806" s="7"/>
      <c r="Y2806" s="7"/>
      <c r="Z2806" s="7"/>
      <c r="AA2806" s="7"/>
      <c r="AB2806" s="7"/>
      <c r="AC2806" s="7"/>
      <c r="AD2806" s="7"/>
      <c r="AE2806" s="7"/>
    </row>
    <row r="2807">
      <c r="A2807" s="7"/>
      <c r="B2807" s="21"/>
      <c r="C2807" s="21"/>
      <c r="D2807" s="21"/>
      <c r="E2807" s="21"/>
      <c r="F2807" s="21"/>
      <c r="G2807" s="21"/>
      <c r="H2807" s="21"/>
      <c r="I2807" s="21"/>
      <c r="J2807" s="21"/>
      <c r="K2807" s="21"/>
      <c r="L2807" s="21"/>
      <c r="M2807" s="7"/>
      <c r="N2807" s="7"/>
      <c r="O2807" s="7"/>
      <c r="P2807" s="7"/>
      <c r="Q2807" s="7"/>
      <c r="R2807" s="7"/>
      <c r="S2807" s="7"/>
      <c r="T2807" s="7"/>
      <c r="U2807" s="7"/>
      <c r="V2807" s="7"/>
      <c r="W2807" s="7"/>
      <c r="X2807" s="7"/>
      <c r="Y2807" s="7"/>
      <c r="Z2807" s="7"/>
      <c r="AA2807" s="7"/>
      <c r="AB2807" s="7"/>
      <c r="AC2807" s="7"/>
      <c r="AD2807" s="7"/>
      <c r="AE2807" s="7"/>
    </row>
    <row r="2808">
      <c r="A2808" s="7"/>
      <c r="B2808" s="21"/>
      <c r="C2808" s="21"/>
      <c r="D2808" s="21"/>
      <c r="E2808" s="21"/>
      <c r="F2808" s="21"/>
      <c r="G2808" s="21"/>
      <c r="H2808" s="21"/>
      <c r="I2808" s="21"/>
      <c r="J2808" s="21"/>
      <c r="K2808" s="21"/>
      <c r="L2808" s="21"/>
      <c r="M2808" s="7"/>
      <c r="N2808" s="7"/>
      <c r="O2808" s="7"/>
      <c r="P2808" s="7"/>
      <c r="Q2808" s="7"/>
      <c r="R2808" s="7"/>
      <c r="S2808" s="7"/>
      <c r="T2808" s="7"/>
      <c r="U2808" s="7"/>
      <c r="V2808" s="7"/>
      <c r="W2808" s="7"/>
      <c r="X2808" s="7"/>
      <c r="Y2808" s="7"/>
      <c r="Z2808" s="7"/>
      <c r="AA2808" s="7"/>
      <c r="AB2808" s="7"/>
      <c r="AC2808" s="7"/>
      <c r="AD2808" s="7"/>
      <c r="AE2808" s="7"/>
    </row>
    <row r="2809">
      <c r="A2809" s="7"/>
      <c r="B2809" s="21"/>
      <c r="C2809" s="21"/>
      <c r="D2809" s="21"/>
      <c r="E2809" s="21"/>
      <c r="F2809" s="21"/>
      <c r="G2809" s="21"/>
      <c r="H2809" s="21"/>
      <c r="I2809" s="21"/>
      <c r="J2809" s="21"/>
      <c r="K2809" s="21"/>
      <c r="L2809" s="21"/>
      <c r="M2809" s="7"/>
      <c r="N2809" s="7"/>
      <c r="O2809" s="7"/>
      <c r="P2809" s="7"/>
      <c r="Q2809" s="7"/>
      <c r="R2809" s="7"/>
      <c r="S2809" s="7"/>
      <c r="T2809" s="7"/>
      <c r="U2809" s="7"/>
      <c r="V2809" s="7"/>
      <c r="W2809" s="7"/>
      <c r="X2809" s="7"/>
      <c r="Y2809" s="7"/>
      <c r="Z2809" s="7"/>
      <c r="AA2809" s="7"/>
      <c r="AB2809" s="7"/>
      <c r="AC2809" s="7"/>
      <c r="AD2809" s="7"/>
      <c r="AE2809" s="7"/>
    </row>
    <row r="2810">
      <c r="A2810" s="7"/>
      <c r="B2810" s="21"/>
      <c r="C2810" s="21"/>
      <c r="D2810" s="21"/>
      <c r="E2810" s="21"/>
      <c r="F2810" s="21"/>
      <c r="G2810" s="21"/>
      <c r="H2810" s="21"/>
      <c r="I2810" s="21"/>
      <c r="J2810" s="21"/>
      <c r="K2810" s="21"/>
      <c r="L2810" s="21"/>
      <c r="M2810" s="7"/>
      <c r="N2810" s="7"/>
      <c r="O2810" s="7"/>
      <c r="P2810" s="7"/>
      <c r="Q2810" s="7"/>
      <c r="R2810" s="7"/>
      <c r="S2810" s="7"/>
      <c r="T2810" s="7"/>
      <c r="U2810" s="7"/>
      <c r="V2810" s="7"/>
      <c r="W2810" s="7"/>
      <c r="X2810" s="7"/>
      <c r="Y2810" s="7"/>
      <c r="Z2810" s="7"/>
      <c r="AA2810" s="7"/>
      <c r="AB2810" s="7"/>
      <c r="AC2810" s="7"/>
      <c r="AD2810" s="7"/>
      <c r="AE2810" s="7"/>
    </row>
    <row r="2811">
      <c r="A2811" s="7"/>
      <c r="B2811" s="21"/>
      <c r="C2811" s="21"/>
      <c r="D2811" s="21"/>
      <c r="E2811" s="21"/>
      <c r="F2811" s="21"/>
      <c r="G2811" s="21"/>
      <c r="H2811" s="21"/>
      <c r="I2811" s="21"/>
      <c r="J2811" s="21"/>
      <c r="K2811" s="21"/>
      <c r="L2811" s="21"/>
      <c r="M2811" s="7"/>
      <c r="N2811" s="7"/>
      <c r="O2811" s="7"/>
      <c r="P2811" s="7"/>
      <c r="Q2811" s="7"/>
      <c r="R2811" s="7"/>
      <c r="S2811" s="7"/>
      <c r="T2811" s="7"/>
      <c r="U2811" s="7"/>
      <c r="V2811" s="7"/>
      <c r="W2811" s="7"/>
      <c r="X2811" s="7"/>
      <c r="Y2811" s="7"/>
      <c r="Z2811" s="7"/>
      <c r="AA2811" s="7"/>
      <c r="AB2811" s="7"/>
      <c r="AC2811" s="7"/>
      <c r="AD2811" s="7"/>
      <c r="AE2811" s="7"/>
    </row>
    <row r="2812">
      <c r="A2812" s="7"/>
      <c r="B2812" s="21"/>
      <c r="C2812" s="21"/>
      <c r="D2812" s="21"/>
      <c r="E2812" s="21"/>
      <c r="F2812" s="21"/>
      <c r="G2812" s="21"/>
      <c r="H2812" s="21"/>
      <c r="I2812" s="21"/>
      <c r="J2812" s="21"/>
      <c r="K2812" s="21"/>
      <c r="L2812" s="21"/>
      <c r="M2812" s="7"/>
      <c r="N2812" s="7"/>
      <c r="O2812" s="7"/>
      <c r="P2812" s="7"/>
      <c r="Q2812" s="7"/>
      <c r="R2812" s="7"/>
      <c r="S2812" s="7"/>
      <c r="T2812" s="7"/>
      <c r="U2812" s="7"/>
      <c r="V2812" s="7"/>
      <c r="W2812" s="7"/>
      <c r="X2812" s="7"/>
      <c r="Y2812" s="7"/>
      <c r="Z2812" s="7"/>
      <c r="AA2812" s="7"/>
      <c r="AB2812" s="7"/>
      <c r="AC2812" s="7"/>
      <c r="AD2812" s="7"/>
      <c r="AE2812" s="7"/>
    </row>
    <row r="2813">
      <c r="A2813" s="7"/>
      <c r="B2813" s="21"/>
      <c r="C2813" s="21"/>
      <c r="D2813" s="21"/>
      <c r="E2813" s="21"/>
      <c r="F2813" s="21"/>
      <c r="G2813" s="21"/>
      <c r="H2813" s="21"/>
      <c r="I2813" s="21"/>
      <c r="J2813" s="21"/>
      <c r="K2813" s="21"/>
      <c r="L2813" s="21"/>
      <c r="M2813" s="7"/>
      <c r="N2813" s="7"/>
      <c r="O2813" s="7"/>
      <c r="P2813" s="7"/>
      <c r="Q2813" s="7"/>
      <c r="R2813" s="7"/>
      <c r="S2813" s="7"/>
      <c r="T2813" s="7"/>
      <c r="U2813" s="7"/>
      <c r="V2813" s="7"/>
      <c r="W2813" s="7"/>
      <c r="X2813" s="7"/>
      <c r="Y2813" s="7"/>
      <c r="Z2813" s="7"/>
      <c r="AA2813" s="7"/>
      <c r="AB2813" s="7"/>
      <c r="AC2813" s="7"/>
      <c r="AD2813" s="7"/>
      <c r="AE2813" s="7"/>
    </row>
    <row r="2814">
      <c r="A2814" s="7"/>
      <c r="B2814" s="21"/>
      <c r="C2814" s="21"/>
      <c r="D2814" s="21"/>
      <c r="E2814" s="21"/>
      <c r="F2814" s="21"/>
      <c r="G2814" s="21"/>
      <c r="H2814" s="21"/>
      <c r="I2814" s="21"/>
      <c r="J2814" s="21"/>
      <c r="K2814" s="21"/>
      <c r="L2814" s="21"/>
      <c r="M2814" s="7"/>
      <c r="N2814" s="7"/>
      <c r="O2814" s="7"/>
      <c r="P2814" s="7"/>
      <c r="Q2814" s="7"/>
      <c r="R2814" s="7"/>
      <c r="S2814" s="7"/>
      <c r="T2814" s="7"/>
      <c r="U2814" s="7"/>
      <c r="V2814" s="7"/>
      <c r="W2814" s="7"/>
      <c r="X2814" s="7"/>
      <c r="Y2814" s="7"/>
      <c r="Z2814" s="7"/>
      <c r="AA2814" s="7"/>
      <c r="AB2814" s="7"/>
      <c r="AC2814" s="7"/>
      <c r="AD2814" s="7"/>
      <c r="AE2814" s="7"/>
    </row>
    <row r="2815">
      <c r="A2815" s="7"/>
      <c r="B2815" s="21"/>
      <c r="C2815" s="21"/>
      <c r="D2815" s="21"/>
      <c r="E2815" s="21"/>
      <c r="F2815" s="21"/>
      <c r="G2815" s="21"/>
      <c r="H2815" s="21"/>
      <c r="I2815" s="21"/>
      <c r="J2815" s="21"/>
      <c r="K2815" s="21"/>
      <c r="L2815" s="21"/>
      <c r="M2815" s="7"/>
      <c r="N2815" s="7"/>
      <c r="O2815" s="7"/>
      <c r="P2815" s="7"/>
      <c r="Q2815" s="7"/>
      <c r="R2815" s="7"/>
      <c r="S2815" s="7"/>
      <c r="T2815" s="7"/>
      <c r="U2815" s="7"/>
      <c r="V2815" s="7"/>
      <c r="W2815" s="7"/>
      <c r="X2815" s="7"/>
      <c r="Y2815" s="7"/>
      <c r="Z2815" s="7"/>
      <c r="AA2815" s="7"/>
      <c r="AB2815" s="7"/>
      <c r="AC2815" s="7"/>
      <c r="AD2815" s="7"/>
      <c r="AE2815" s="7"/>
    </row>
    <row r="2816">
      <c r="A2816" s="7"/>
      <c r="B2816" s="21"/>
      <c r="C2816" s="21"/>
      <c r="D2816" s="21"/>
      <c r="E2816" s="21"/>
      <c r="F2816" s="21"/>
      <c r="G2816" s="21"/>
      <c r="H2816" s="21"/>
      <c r="I2816" s="21"/>
      <c r="J2816" s="21"/>
      <c r="K2816" s="21"/>
      <c r="L2816" s="21"/>
      <c r="M2816" s="7"/>
      <c r="N2816" s="7"/>
      <c r="O2816" s="7"/>
      <c r="P2816" s="7"/>
      <c r="Q2816" s="7"/>
      <c r="R2816" s="7"/>
      <c r="S2816" s="7"/>
      <c r="T2816" s="7"/>
      <c r="U2816" s="7"/>
      <c r="V2816" s="7"/>
      <c r="W2816" s="7"/>
      <c r="X2816" s="7"/>
      <c r="Y2816" s="7"/>
      <c r="Z2816" s="7"/>
      <c r="AA2816" s="7"/>
      <c r="AB2816" s="7"/>
      <c r="AC2816" s="7"/>
      <c r="AD2816" s="7"/>
      <c r="AE2816" s="7"/>
    </row>
    <row r="2817">
      <c r="A2817" s="7"/>
      <c r="B2817" s="21"/>
      <c r="C2817" s="21"/>
      <c r="D2817" s="21"/>
      <c r="E2817" s="21"/>
      <c r="F2817" s="21"/>
      <c r="G2817" s="21"/>
      <c r="H2817" s="21"/>
      <c r="I2817" s="21"/>
      <c r="J2817" s="21"/>
      <c r="K2817" s="21"/>
      <c r="L2817" s="21"/>
      <c r="M2817" s="7"/>
      <c r="N2817" s="7"/>
      <c r="O2817" s="7"/>
      <c r="P2817" s="7"/>
      <c r="Q2817" s="7"/>
      <c r="R2817" s="7"/>
      <c r="S2817" s="7"/>
      <c r="T2817" s="7"/>
      <c r="U2817" s="7"/>
      <c r="V2817" s="7"/>
      <c r="W2817" s="7"/>
      <c r="X2817" s="7"/>
      <c r="Y2817" s="7"/>
      <c r="Z2817" s="7"/>
      <c r="AA2817" s="7"/>
      <c r="AB2817" s="7"/>
      <c r="AC2817" s="7"/>
      <c r="AD2817" s="7"/>
      <c r="AE2817" s="7"/>
    </row>
    <row r="2818">
      <c r="A2818" s="7"/>
      <c r="B2818" s="21"/>
      <c r="C2818" s="21"/>
      <c r="D2818" s="21"/>
      <c r="E2818" s="21"/>
      <c r="F2818" s="21"/>
      <c r="G2818" s="21"/>
      <c r="H2818" s="21"/>
      <c r="I2818" s="21"/>
      <c r="J2818" s="21"/>
      <c r="K2818" s="21"/>
      <c r="L2818" s="21"/>
      <c r="M2818" s="7"/>
      <c r="N2818" s="7"/>
      <c r="O2818" s="7"/>
      <c r="P2818" s="7"/>
      <c r="Q2818" s="7"/>
      <c r="R2818" s="7"/>
      <c r="S2818" s="7"/>
      <c r="T2818" s="7"/>
      <c r="U2818" s="7"/>
      <c r="V2818" s="7"/>
      <c r="W2818" s="7"/>
      <c r="X2818" s="7"/>
      <c r="Y2818" s="7"/>
      <c r="Z2818" s="7"/>
      <c r="AA2818" s="7"/>
      <c r="AB2818" s="7"/>
      <c r="AC2818" s="7"/>
      <c r="AD2818" s="7"/>
      <c r="AE2818" s="7"/>
    </row>
    <row r="2819">
      <c r="A2819" s="7"/>
      <c r="B2819" s="21"/>
      <c r="C2819" s="21"/>
      <c r="D2819" s="21"/>
      <c r="E2819" s="21"/>
      <c r="F2819" s="21"/>
      <c r="G2819" s="21"/>
      <c r="H2819" s="21"/>
      <c r="I2819" s="21"/>
      <c r="J2819" s="21"/>
      <c r="K2819" s="21"/>
      <c r="L2819" s="21"/>
      <c r="M2819" s="7"/>
      <c r="N2819" s="7"/>
      <c r="O2819" s="7"/>
      <c r="P2819" s="7"/>
      <c r="Q2819" s="7"/>
      <c r="R2819" s="7"/>
      <c r="S2819" s="7"/>
      <c r="T2819" s="7"/>
      <c r="U2819" s="7"/>
      <c r="V2819" s="7"/>
      <c r="W2819" s="7"/>
      <c r="X2819" s="7"/>
      <c r="Y2819" s="7"/>
      <c r="Z2819" s="7"/>
      <c r="AA2819" s="7"/>
      <c r="AB2819" s="7"/>
      <c r="AC2819" s="7"/>
      <c r="AD2819" s="7"/>
      <c r="AE2819" s="7"/>
    </row>
    <row r="2820">
      <c r="A2820" s="7"/>
      <c r="B2820" s="21"/>
      <c r="C2820" s="21"/>
      <c r="D2820" s="21"/>
      <c r="E2820" s="21"/>
      <c r="F2820" s="21"/>
      <c r="G2820" s="21"/>
      <c r="H2820" s="21"/>
      <c r="I2820" s="21"/>
      <c r="J2820" s="21"/>
      <c r="K2820" s="21"/>
      <c r="L2820" s="21"/>
      <c r="M2820" s="7"/>
      <c r="N2820" s="7"/>
      <c r="O2820" s="7"/>
      <c r="P2820" s="7"/>
      <c r="Q2820" s="7"/>
      <c r="R2820" s="7"/>
      <c r="S2820" s="7"/>
      <c r="T2820" s="7"/>
      <c r="U2820" s="7"/>
      <c r="V2820" s="7"/>
      <c r="W2820" s="7"/>
      <c r="X2820" s="7"/>
      <c r="Y2820" s="7"/>
      <c r="Z2820" s="7"/>
      <c r="AA2820" s="7"/>
      <c r="AB2820" s="7"/>
      <c r="AC2820" s="7"/>
      <c r="AD2820" s="7"/>
      <c r="AE2820" s="7"/>
    </row>
    <row r="2821">
      <c r="A2821" s="7"/>
      <c r="B2821" s="21"/>
      <c r="C2821" s="21"/>
      <c r="D2821" s="21"/>
      <c r="E2821" s="21"/>
      <c r="F2821" s="21"/>
      <c r="G2821" s="21"/>
      <c r="H2821" s="21"/>
      <c r="I2821" s="21"/>
      <c r="J2821" s="21"/>
      <c r="K2821" s="21"/>
      <c r="L2821" s="21"/>
      <c r="M2821" s="7"/>
      <c r="N2821" s="7"/>
      <c r="O2821" s="7"/>
      <c r="P2821" s="7"/>
      <c r="Q2821" s="7"/>
      <c r="R2821" s="7"/>
      <c r="S2821" s="7"/>
      <c r="T2821" s="7"/>
      <c r="U2821" s="7"/>
      <c r="V2821" s="7"/>
      <c r="W2821" s="7"/>
      <c r="X2821" s="7"/>
      <c r="Y2821" s="7"/>
      <c r="Z2821" s="7"/>
      <c r="AA2821" s="7"/>
      <c r="AB2821" s="7"/>
      <c r="AC2821" s="7"/>
      <c r="AD2821" s="7"/>
      <c r="AE2821" s="7"/>
    </row>
    <row r="2822">
      <c r="A2822" s="7"/>
      <c r="B2822" s="21"/>
      <c r="C2822" s="21"/>
      <c r="D2822" s="21"/>
      <c r="E2822" s="21"/>
      <c r="F2822" s="21"/>
      <c r="G2822" s="21"/>
      <c r="H2822" s="21"/>
      <c r="I2822" s="21"/>
      <c r="J2822" s="21"/>
      <c r="K2822" s="21"/>
      <c r="L2822" s="21"/>
      <c r="M2822" s="7"/>
      <c r="N2822" s="7"/>
      <c r="O2822" s="7"/>
      <c r="P2822" s="7"/>
      <c r="Q2822" s="7"/>
      <c r="R2822" s="7"/>
      <c r="S2822" s="7"/>
      <c r="T2822" s="7"/>
      <c r="U2822" s="7"/>
      <c r="V2822" s="7"/>
      <c r="W2822" s="7"/>
      <c r="X2822" s="7"/>
      <c r="Y2822" s="7"/>
      <c r="Z2822" s="7"/>
      <c r="AA2822" s="7"/>
      <c r="AB2822" s="7"/>
      <c r="AC2822" s="7"/>
      <c r="AD2822" s="7"/>
      <c r="AE2822" s="7"/>
    </row>
    <row r="2823">
      <c r="A2823" s="7"/>
      <c r="B2823" s="21"/>
      <c r="C2823" s="21"/>
      <c r="D2823" s="21"/>
      <c r="E2823" s="21"/>
      <c r="F2823" s="21"/>
      <c r="G2823" s="21"/>
      <c r="H2823" s="21"/>
      <c r="I2823" s="21"/>
      <c r="J2823" s="21"/>
      <c r="K2823" s="21"/>
      <c r="L2823" s="21"/>
      <c r="M2823" s="7"/>
      <c r="N2823" s="7"/>
      <c r="O2823" s="7"/>
      <c r="P2823" s="7"/>
      <c r="Q2823" s="7"/>
      <c r="R2823" s="7"/>
      <c r="S2823" s="7"/>
      <c r="T2823" s="7"/>
      <c r="U2823" s="7"/>
      <c r="V2823" s="7"/>
      <c r="W2823" s="7"/>
      <c r="X2823" s="7"/>
      <c r="Y2823" s="7"/>
      <c r="Z2823" s="7"/>
      <c r="AA2823" s="7"/>
      <c r="AB2823" s="7"/>
      <c r="AC2823" s="7"/>
      <c r="AD2823" s="7"/>
      <c r="AE2823" s="7"/>
    </row>
    <row r="2824">
      <c r="A2824" s="7"/>
      <c r="B2824" s="21"/>
      <c r="C2824" s="21"/>
      <c r="D2824" s="21"/>
      <c r="E2824" s="21"/>
      <c r="F2824" s="21"/>
      <c r="G2824" s="21"/>
      <c r="H2824" s="21"/>
      <c r="I2824" s="21"/>
      <c r="J2824" s="21"/>
      <c r="K2824" s="21"/>
      <c r="L2824" s="21"/>
      <c r="M2824" s="7"/>
      <c r="N2824" s="7"/>
      <c r="O2824" s="7"/>
      <c r="P2824" s="7"/>
      <c r="Q2824" s="7"/>
      <c r="R2824" s="7"/>
      <c r="S2824" s="7"/>
      <c r="T2824" s="7"/>
      <c r="U2824" s="7"/>
      <c r="V2824" s="7"/>
      <c r="W2824" s="7"/>
      <c r="X2824" s="7"/>
      <c r="Y2824" s="7"/>
      <c r="Z2824" s="7"/>
      <c r="AA2824" s="7"/>
      <c r="AB2824" s="7"/>
      <c r="AC2824" s="7"/>
      <c r="AD2824" s="7"/>
      <c r="AE2824" s="7"/>
    </row>
    <row r="2825">
      <c r="A2825" s="7"/>
      <c r="B2825" s="21"/>
      <c r="C2825" s="21"/>
      <c r="D2825" s="21"/>
      <c r="E2825" s="21"/>
      <c r="F2825" s="21"/>
      <c r="G2825" s="21"/>
      <c r="H2825" s="21"/>
      <c r="I2825" s="21"/>
      <c r="J2825" s="21"/>
      <c r="K2825" s="21"/>
      <c r="L2825" s="21"/>
      <c r="M2825" s="7"/>
      <c r="N2825" s="7"/>
      <c r="O2825" s="7"/>
      <c r="P2825" s="7"/>
      <c r="Q2825" s="7"/>
      <c r="R2825" s="7"/>
      <c r="S2825" s="7"/>
      <c r="T2825" s="7"/>
      <c r="U2825" s="7"/>
      <c r="V2825" s="7"/>
      <c r="W2825" s="7"/>
      <c r="X2825" s="7"/>
      <c r="Y2825" s="7"/>
      <c r="Z2825" s="7"/>
      <c r="AA2825" s="7"/>
      <c r="AB2825" s="7"/>
      <c r="AC2825" s="7"/>
      <c r="AD2825" s="7"/>
      <c r="AE2825" s="7"/>
    </row>
    <row r="2826">
      <c r="A2826" s="7"/>
      <c r="B2826" s="21"/>
      <c r="C2826" s="21"/>
      <c r="D2826" s="21"/>
      <c r="E2826" s="21"/>
      <c r="F2826" s="21"/>
      <c r="G2826" s="21"/>
      <c r="H2826" s="21"/>
      <c r="I2826" s="21"/>
      <c r="J2826" s="21"/>
      <c r="K2826" s="21"/>
      <c r="L2826" s="21"/>
      <c r="M2826" s="7"/>
      <c r="N2826" s="7"/>
      <c r="O2826" s="7"/>
      <c r="P2826" s="7"/>
      <c r="Q2826" s="7"/>
      <c r="R2826" s="7"/>
      <c r="S2826" s="7"/>
      <c r="T2826" s="7"/>
      <c r="U2826" s="7"/>
      <c r="V2826" s="7"/>
      <c r="W2826" s="7"/>
      <c r="X2826" s="7"/>
      <c r="Y2826" s="7"/>
      <c r="Z2826" s="7"/>
      <c r="AA2826" s="7"/>
      <c r="AB2826" s="7"/>
      <c r="AC2826" s="7"/>
      <c r="AD2826" s="7"/>
      <c r="AE2826" s="7"/>
    </row>
    <row r="2827">
      <c r="A2827" s="7"/>
      <c r="B2827" s="21"/>
      <c r="C2827" s="21"/>
      <c r="D2827" s="21"/>
      <c r="E2827" s="21"/>
      <c r="F2827" s="21"/>
      <c r="G2827" s="21"/>
      <c r="H2827" s="21"/>
      <c r="I2827" s="21"/>
      <c r="J2827" s="21"/>
      <c r="K2827" s="21"/>
      <c r="L2827" s="21"/>
      <c r="M2827" s="7"/>
      <c r="N2827" s="7"/>
      <c r="O2827" s="7"/>
      <c r="P2827" s="7"/>
      <c r="Q2827" s="7"/>
      <c r="R2827" s="7"/>
      <c r="S2827" s="7"/>
      <c r="T2827" s="7"/>
      <c r="U2827" s="7"/>
      <c r="V2827" s="7"/>
      <c r="W2827" s="7"/>
      <c r="X2827" s="7"/>
      <c r="Y2827" s="7"/>
      <c r="Z2827" s="7"/>
      <c r="AA2827" s="7"/>
      <c r="AB2827" s="7"/>
      <c r="AC2827" s="7"/>
      <c r="AD2827" s="7"/>
      <c r="AE2827" s="7"/>
    </row>
    <row r="2828">
      <c r="A2828" s="7"/>
      <c r="B2828" s="21"/>
      <c r="C2828" s="21"/>
      <c r="D2828" s="21"/>
      <c r="E2828" s="21"/>
      <c r="F2828" s="21"/>
      <c r="G2828" s="21"/>
      <c r="H2828" s="21"/>
      <c r="I2828" s="21"/>
      <c r="J2828" s="21"/>
      <c r="K2828" s="21"/>
      <c r="L2828" s="21"/>
      <c r="M2828" s="7"/>
      <c r="N2828" s="7"/>
      <c r="O2828" s="7"/>
      <c r="P2828" s="7"/>
      <c r="Q2828" s="7"/>
      <c r="R2828" s="7"/>
      <c r="S2828" s="7"/>
      <c r="T2828" s="7"/>
      <c r="U2828" s="7"/>
      <c r="V2828" s="7"/>
      <c r="W2828" s="7"/>
      <c r="X2828" s="7"/>
      <c r="Y2828" s="7"/>
      <c r="Z2828" s="7"/>
      <c r="AA2828" s="7"/>
      <c r="AB2828" s="7"/>
      <c r="AC2828" s="7"/>
      <c r="AD2828" s="7"/>
      <c r="AE2828" s="7"/>
    </row>
    <row r="2829">
      <c r="A2829" s="7"/>
      <c r="B2829" s="21"/>
      <c r="C2829" s="21"/>
      <c r="D2829" s="21"/>
      <c r="E2829" s="21"/>
      <c r="F2829" s="21"/>
      <c r="G2829" s="21"/>
      <c r="H2829" s="21"/>
      <c r="I2829" s="21"/>
      <c r="J2829" s="21"/>
      <c r="K2829" s="21"/>
      <c r="L2829" s="21"/>
      <c r="M2829" s="7"/>
      <c r="N2829" s="7"/>
      <c r="O2829" s="7"/>
      <c r="P2829" s="7"/>
      <c r="Q2829" s="7"/>
      <c r="R2829" s="7"/>
      <c r="S2829" s="7"/>
      <c r="T2829" s="7"/>
      <c r="U2829" s="7"/>
      <c r="V2829" s="7"/>
      <c r="W2829" s="7"/>
      <c r="X2829" s="7"/>
      <c r="Y2829" s="7"/>
      <c r="Z2829" s="7"/>
      <c r="AA2829" s="7"/>
      <c r="AB2829" s="7"/>
      <c r="AC2829" s="7"/>
      <c r="AD2829" s="7"/>
      <c r="AE2829" s="7"/>
    </row>
    <row r="2830">
      <c r="A2830" s="7"/>
      <c r="B2830" s="21"/>
      <c r="C2830" s="21"/>
      <c r="D2830" s="21"/>
      <c r="E2830" s="21"/>
      <c r="F2830" s="21"/>
      <c r="G2830" s="21"/>
      <c r="H2830" s="21"/>
      <c r="I2830" s="21"/>
      <c r="J2830" s="21"/>
      <c r="K2830" s="21"/>
      <c r="L2830" s="21"/>
      <c r="M2830" s="7"/>
      <c r="N2830" s="7"/>
      <c r="O2830" s="7"/>
      <c r="P2830" s="7"/>
      <c r="Q2830" s="7"/>
      <c r="R2830" s="7"/>
      <c r="S2830" s="7"/>
      <c r="T2830" s="7"/>
      <c r="U2830" s="7"/>
      <c r="V2830" s="7"/>
      <c r="W2830" s="7"/>
      <c r="X2830" s="7"/>
      <c r="Y2830" s="7"/>
      <c r="Z2830" s="7"/>
      <c r="AA2830" s="7"/>
      <c r="AB2830" s="7"/>
      <c r="AC2830" s="7"/>
      <c r="AD2830" s="7"/>
      <c r="AE2830" s="7"/>
    </row>
    <row r="2831">
      <c r="A2831" s="7"/>
      <c r="B2831" s="21"/>
      <c r="C2831" s="21"/>
      <c r="D2831" s="21"/>
      <c r="E2831" s="21"/>
      <c r="F2831" s="21"/>
      <c r="G2831" s="21"/>
      <c r="H2831" s="21"/>
      <c r="I2831" s="21"/>
      <c r="J2831" s="21"/>
      <c r="K2831" s="21"/>
      <c r="L2831" s="21"/>
      <c r="M2831" s="7"/>
      <c r="N2831" s="7"/>
      <c r="O2831" s="7"/>
      <c r="P2831" s="7"/>
      <c r="Q2831" s="7"/>
      <c r="R2831" s="7"/>
      <c r="S2831" s="7"/>
      <c r="T2831" s="7"/>
      <c r="U2831" s="7"/>
      <c r="V2831" s="7"/>
      <c r="W2831" s="7"/>
      <c r="X2831" s="7"/>
      <c r="Y2831" s="7"/>
      <c r="Z2831" s="7"/>
      <c r="AA2831" s="7"/>
      <c r="AB2831" s="7"/>
      <c r="AC2831" s="7"/>
      <c r="AD2831" s="7"/>
      <c r="AE2831" s="7"/>
    </row>
    <row r="2832">
      <c r="A2832" s="7"/>
      <c r="B2832" s="21"/>
      <c r="C2832" s="21"/>
      <c r="D2832" s="21"/>
      <c r="E2832" s="21"/>
      <c r="F2832" s="21"/>
      <c r="G2832" s="21"/>
      <c r="H2832" s="21"/>
      <c r="I2832" s="21"/>
      <c r="J2832" s="21"/>
      <c r="K2832" s="21"/>
      <c r="L2832" s="21"/>
      <c r="M2832" s="7"/>
      <c r="N2832" s="7"/>
      <c r="O2832" s="7"/>
      <c r="P2832" s="7"/>
      <c r="Q2832" s="7"/>
      <c r="R2832" s="7"/>
      <c r="S2832" s="7"/>
      <c r="T2832" s="7"/>
      <c r="U2832" s="7"/>
      <c r="V2832" s="7"/>
      <c r="W2832" s="7"/>
      <c r="X2832" s="7"/>
      <c r="Y2832" s="7"/>
      <c r="Z2832" s="7"/>
      <c r="AA2832" s="7"/>
      <c r="AB2832" s="7"/>
      <c r="AC2832" s="7"/>
      <c r="AD2832" s="7"/>
      <c r="AE2832" s="7"/>
    </row>
    <row r="2833">
      <c r="A2833" s="7"/>
      <c r="B2833" s="21"/>
      <c r="C2833" s="21"/>
      <c r="D2833" s="21"/>
      <c r="E2833" s="21"/>
      <c r="F2833" s="21"/>
      <c r="G2833" s="21"/>
      <c r="H2833" s="21"/>
      <c r="I2833" s="21"/>
      <c r="J2833" s="21"/>
      <c r="K2833" s="21"/>
      <c r="L2833" s="21"/>
      <c r="M2833" s="7"/>
      <c r="N2833" s="7"/>
      <c r="O2833" s="7"/>
      <c r="P2833" s="7"/>
      <c r="Q2833" s="7"/>
      <c r="R2833" s="7"/>
      <c r="S2833" s="7"/>
      <c r="T2833" s="7"/>
      <c r="U2833" s="7"/>
      <c r="V2833" s="7"/>
      <c r="W2833" s="7"/>
      <c r="X2833" s="7"/>
      <c r="Y2833" s="7"/>
      <c r="Z2833" s="7"/>
      <c r="AA2833" s="7"/>
      <c r="AB2833" s="7"/>
      <c r="AC2833" s="7"/>
      <c r="AD2833" s="7"/>
      <c r="AE2833" s="7"/>
    </row>
    <row r="2834">
      <c r="A2834" s="7"/>
      <c r="B2834" s="21"/>
      <c r="C2834" s="21"/>
      <c r="D2834" s="21"/>
      <c r="E2834" s="21"/>
      <c r="F2834" s="21"/>
      <c r="G2834" s="21"/>
      <c r="H2834" s="21"/>
      <c r="I2834" s="21"/>
      <c r="J2834" s="21"/>
      <c r="K2834" s="21"/>
      <c r="L2834" s="21"/>
      <c r="M2834" s="7"/>
      <c r="N2834" s="7"/>
      <c r="O2834" s="7"/>
      <c r="P2834" s="7"/>
      <c r="Q2834" s="7"/>
      <c r="R2834" s="7"/>
      <c r="S2834" s="7"/>
      <c r="T2834" s="7"/>
      <c r="U2834" s="7"/>
      <c r="V2834" s="7"/>
      <c r="W2834" s="7"/>
      <c r="X2834" s="7"/>
      <c r="Y2834" s="7"/>
      <c r="Z2834" s="7"/>
      <c r="AA2834" s="7"/>
      <c r="AB2834" s="7"/>
      <c r="AC2834" s="7"/>
      <c r="AD2834" s="7"/>
      <c r="AE2834" s="7"/>
    </row>
    <row r="2835">
      <c r="A2835" s="7"/>
      <c r="B2835" s="21"/>
      <c r="C2835" s="21"/>
      <c r="D2835" s="21"/>
      <c r="E2835" s="21"/>
      <c r="F2835" s="21"/>
      <c r="G2835" s="21"/>
      <c r="H2835" s="21"/>
      <c r="I2835" s="21"/>
      <c r="J2835" s="21"/>
      <c r="K2835" s="21"/>
      <c r="L2835" s="21"/>
      <c r="M2835" s="7"/>
      <c r="N2835" s="7"/>
      <c r="O2835" s="7"/>
      <c r="P2835" s="7"/>
      <c r="Q2835" s="7"/>
      <c r="R2835" s="7"/>
      <c r="S2835" s="7"/>
      <c r="T2835" s="7"/>
      <c r="U2835" s="7"/>
      <c r="V2835" s="7"/>
      <c r="W2835" s="7"/>
      <c r="X2835" s="7"/>
      <c r="Y2835" s="7"/>
      <c r="Z2835" s="7"/>
      <c r="AA2835" s="7"/>
      <c r="AB2835" s="7"/>
      <c r="AC2835" s="7"/>
      <c r="AD2835" s="7"/>
      <c r="AE2835" s="7"/>
    </row>
    <row r="2836">
      <c r="A2836" s="7"/>
      <c r="B2836" s="21"/>
      <c r="C2836" s="21"/>
      <c r="D2836" s="21"/>
      <c r="E2836" s="21"/>
      <c r="F2836" s="21"/>
      <c r="G2836" s="21"/>
      <c r="H2836" s="21"/>
      <c r="I2836" s="21"/>
      <c r="J2836" s="21"/>
      <c r="K2836" s="21"/>
      <c r="L2836" s="21"/>
      <c r="M2836" s="7"/>
      <c r="N2836" s="7"/>
      <c r="O2836" s="7"/>
      <c r="P2836" s="7"/>
      <c r="Q2836" s="7"/>
      <c r="R2836" s="7"/>
      <c r="S2836" s="7"/>
      <c r="T2836" s="7"/>
      <c r="U2836" s="7"/>
      <c r="V2836" s="7"/>
      <c r="W2836" s="7"/>
      <c r="X2836" s="7"/>
      <c r="Y2836" s="7"/>
      <c r="Z2836" s="7"/>
      <c r="AA2836" s="7"/>
      <c r="AB2836" s="7"/>
      <c r="AC2836" s="7"/>
      <c r="AD2836" s="7"/>
      <c r="AE2836" s="7"/>
    </row>
    <row r="2837">
      <c r="A2837" s="7"/>
      <c r="B2837" s="21"/>
      <c r="C2837" s="21"/>
      <c r="D2837" s="21"/>
      <c r="E2837" s="21"/>
      <c r="F2837" s="21"/>
      <c r="G2837" s="21"/>
      <c r="H2837" s="21"/>
      <c r="I2837" s="21"/>
      <c r="J2837" s="21"/>
      <c r="K2837" s="21"/>
      <c r="L2837" s="21"/>
      <c r="M2837" s="7"/>
      <c r="N2837" s="7"/>
      <c r="O2837" s="7"/>
      <c r="P2837" s="7"/>
      <c r="Q2837" s="7"/>
      <c r="R2837" s="7"/>
      <c r="S2837" s="7"/>
      <c r="T2837" s="7"/>
      <c r="U2837" s="7"/>
      <c r="V2837" s="7"/>
      <c r="W2837" s="7"/>
      <c r="X2837" s="7"/>
      <c r="Y2837" s="7"/>
      <c r="Z2837" s="7"/>
      <c r="AA2837" s="7"/>
      <c r="AB2837" s="7"/>
      <c r="AC2837" s="7"/>
      <c r="AD2837" s="7"/>
      <c r="AE2837" s="7"/>
    </row>
    <row r="2838">
      <c r="A2838" s="7"/>
      <c r="B2838" s="21"/>
      <c r="C2838" s="21"/>
      <c r="D2838" s="21"/>
      <c r="E2838" s="21"/>
      <c r="F2838" s="21"/>
      <c r="G2838" s="21"/>
      <c r="H2838" s="21"/>
      <c r="I2838" s="21"/>
      <c r="J2838" s="21"/>
      <c r="K2838" s="21"/>
      <c r="L2838" s="21"/>
      <c r="M2838" s="7"/>
      <c r="N2838" s="7"/>
      <c r="O2838" s="7"/>
      <c r="P2838" s="7"/>
      <c r="Q2838" s="7"/>
      <c r="R2838" s="7"/>
      <c r="S2838" s="7"/>
      <c r="T2838" s="7"/>
      <c r="U2838" s="7"/>
      <c r="V2838" s="7"/>
      <c r="W2838" s="7"/>
      <c r="X2838" s="7"/>
      <c r="Y2838" s="7"/>
      <c r="Z2838" s="7"/>
      <c r="AA2838" s="7"/>
      <c r="AB2838" s="7"/>
      <c r="AC2838" s="7"/>
      <c r="AD2838" s="7"/>
      <c r="AE2838" s="7"/>
    </row>
    <row r="2839">
      <c r="A2839" s="7"/>
      <c r="B2839" s="21"/>
      <c r="C2839" s="21"/>
      <c r="D2839" s="21"/>
      <c r="E2839" s="21"/>
      <c r="F2839" s="21"/>
      <c r="G2839" s="21"/>
      <c r="H2839" s="21"/>
      <c r="I2839" s="21"/>
      <c r="J2839" s="21"/>
      <c r="K2839" s="21"/>
      <c r="L2839" s="21"/>
      <c r="M2839" s="7"/>
      <c r="N2839" s="7"/>
      <c r="O2839" s="7"/>
      <c r="P2839" s="7"/>
      <c r="Q2839" s="7"/>
      <c r="R2839" s="7"/>
      <c r="S2839" s="7"/>
      <c r="T2839" s="7"/>
      <c r="U2839" s="7"/>
      <c r="V2839" s="7"/>
      <c r="W2839" s="7"/>
      <c r="X2839" s="7"/>
      <c r="Y2839" s="7"/>
      <c r="Z2839" s="7"/>
      <c r="AA2839" s="7"/>
      <c r="AB2839" s="7"/>
      <c r="AC2839" s="7"/>
      <c r="AD2839" s="7"/>
      <c r="AE2839" s="7"/>
    </row>
    <row r="2840">
      <c r="A2840" s="7"/>
      <c r="B2840" s="21"/>
      <c r="C2840" s="21"/>
      <c r="D2840" s="21"/>
      <c r="E2840" s="21"/>
      <c r="F2840" s="21"/>
      <c r="G2840" s="21"/>
      <c r="H2840" s="21"/>
      <c r="I2840" s="21"/>
      <c r="J2840" s="21"/>
      <c r="K2840" s="21"/>
      <c r="L2840" s="21"/>
      <c r="M2840" s="7"/>
      <c r="N2840" s="7"/>
      <c r="O2840" s="7"/>
      <c r="P2840" s="7"/>
      <c r="Q2840" s="7"/>
      <c r="R2840" s="7"/>
      <c r="S2840" s="7"/>
      <c r="T2840" s="7"/>
      <c r="U2840" s="7"/>
      <c r="V2840" s="7"/>
      <c r="W2840" s="7"/>
      <c r="X2840" s="7"/>
      <c r="Y2840" s="7"/>
      <c r="Z2840" s="7"/>
      <c r="AA2840" s="7"/>
      <c r="AB2840" s="7"/>
      <c r="AC2840" s="7"/>
      <c r="AD2840" s="7"/>
      <c r="AE2840" s="7"/>
    </row>
    <row r="2841">
      <c r="A2841" s="7"/>
      <c r="B2841" s="21"/>
      <c r="C2841" s="21"/>
      <c r="D2841" s="21"/>
      <c r="E2841" s="21"/>
      <c r="F2841" s="21"/>
      <c r="G2841" s="21"/>
      <c r="H2841" s="21"/>
      <c r="I2841" s="21"/>
      <c r="J2841" s="21"/>
      <c r="K2841" s="21"/>
      <c r="L2841" s="21"/>
      <c r="M2841" s="7"/>
      <c r="N2841" s="7"/>
      <c r="O2841" s="7"/>
      <c r="P2841" s="7"/>
      <c r="Q2841" s="7"/>
      <c r="R2841" s="7"/>
      <c r="S2841" s="7"/>
      <c r="T2841" s="7"/>
      <c r="U2841" s="7"/>
      <c r="V2841" s="7"/>
      <c r="W2841" s="7"/>
      <c r="X2841" s="7"/>
      <c r="Y2841" s="7"/>
      <c r="Z2841" s="7"/>
      <c r="AA2841" s="7"/>
      <c r="AB2841" s="7"/>
      <c r="AC2841" s="7"/>
      <c r="AD2841" s="7"/>
      <c r="AE2841" s="7"/>
    </row>
    <row r="2842">
      <c r="A2842" s="7"/>
      <c r="B2842" s="21"/>
      <c r="C2842" s="21"/>
      <c r="D2842" s="21"/>
      <c r="E2842" s="21"/>
      <c r="F2842" s="21"/>
      <c r="G2842" s="21"/>
      <c r="H2842" s="21"/>
      <c r="I2842" s="21"/>
      <c r="J2842" s="21"/>
      <c r="K2842" s="21"/>
      <c r="L2842" s="21"/>
      <c r="M2842" s="7"/>
      <c r="N2842" s="7"/>
      <c r="O2842" s="7"/>
      <c r="P2842" s="7"/>
      <c r="Q2842" s="7"/>
      <c r="R2842" s="7"/>
      <c r="S2842" s="7"/>
      <c r="T2842" s="7"/>
      <c r="U2842" s="7"/>
      <c r="V2842" s="7"/>
      <c r="W2842" s="7"/>
      <c r="X2842" s="7"/>
      <c r="Y2842" s="7"/>
      <c r="Z2842" s="7"/>
      <c r="AA2842" s="7"/>
      <c r="AB2842" s="7"/>
      <c r="AC2842" s="7"/>
      <c r="AD2842" s="7"/>
      <c r="AE2842" s="7"/>
    </row>
    <row r="2843">
      <c r="A2843" s="7"/>
      <c r="B2843" s="21"/>
      <c r="C2843" s="21"/>
      <c r="D2843" s="21"/>
      <c r="E2843" s="21"/>
      <c r="F2843" s="21"/>
      <c r="G2843" s="21"/>
      <c r="H2843" s="21"/>
      <c r="I2843" s="21"/>
      <c r="J2843" s="21"/>
      <c r="K2843" s="21"/>
      <c r="L2843" s="21"/>
      <c r="M2843" s="7"/>
      <c r="N2843" s="7"/>
      <c r="O2843" s="7"/>
      <c r="P2843" s="7"/>
      <c r="Q2843" s="7"/>
      <c r="R2843" s="7"/>
      <c r="S2843" s="7"/>
      <c r="T2843" s="7"/>
      <c r="U2843" s="7"/>
      <c r="V2843" s="7"/>
      <c r="W2843" s="7"/>
      <c r="X2843" s="7"/>
      <c r="Y2843" s="7"/>
      <c r="Z2843" s="7"/>
      <c r="AA2843" s="7"/>
      <c r="AB2843" s="7"/>
      <c r="AC2843" s="7"/>
      <c r="AD2843" s="7"/>
      <c r="AE2843" s="7"/>
    </row>
    <row r="2844">
      <c r="A2844" s="7"/>
      <c r="B2844" s="21"/>
      <c r="C2844" s="21"/>
      <c r="D2844" s="21"/>
      <c r="E2844" s="21"/>
      <c r="F2844" s="21"/>
      <c r="G2844" s="21"/>
      <c r="H2844" s="21"/>
      <c r="I2844" s="21"/>
      <c r="J2844" s="21"/>
      <c r="K2844" s="21"/>
      <c r="L2844" s="21"/>
      <c r="M2844" s="7"/>
      <c r="N2844" s="7"/>
      <c r="O2844" s="7"/>
      <c r="P2844" s="7"/>
      <c r="Q2844" s="7"/>
      <c r="R2844" s="7"/>
      <c r="S2844" s="7"/>
      <c r="T2844" s="7"/>
      <c r="U2844" s="7"/>
      <c r="V2844" s="7"/>
      <c r="W2844" s="7"/>
      <c r="X2844" s="7"/>
      <c r="Y2844" s="7"/>
      <c r="Z2844" s="7"/>
      <c r="AA2844" s="7"/>
      <c r="AB2844" s="7"/>
      <c r="AC2844" s="7"/>
      <c r="AD2844" s="7"/>
      <c r="AE2844" s="7"/>
    </row>
    <row r="2845">
      <c r="A2845" s="7"/>
      <c r="B2845" s="21"/>
      <c r="C2845" s="21"/>
      <c r="D2845" s="21"/>
      <c r="E2845" s="21"/>
      <c r="F2845" s="21"/>
      <c r="G2845" s="21"/>
      <c r="H2845" s="21"/>
      <c r="I2845" s="21"/>
      <c r="J2845" s="21"/>
      <c r="K2845" s="21"/>
      <c r="L2845" s="21"/>
      <c r="M2845" s="7"/>
      <c r="N2845" s="7"/>
      <c r="O2845" s="7"/>
      <c r="P2845" s="7"/>
      <c r="Q2845" s="7"/>
      <c r="R2845" s="7"/>
      <c r="S2845" s="7"/>
      <c r="T2845" s="7"/>
      <c r="U2845" s="7"/>
      <c r="V2845" s="7"/>
      <c r="W2845" s="7"/>
      <c r="X2845" s="7"/>
      <c r="Y2845" s="7"/>
      <c r="Z2845" s="7"/>
      <c r="AA2845" s="7"/>
      <c r="AB2845" s="7"/>
      <c r="AC2845" s="7"/>
      <c r="AD2845" s="7"/>
      <c r="AE2845" s="7"/>
    </row>
    <row r="2846">
      <c r="A2846" s="7"/>
      <c r="B2846" s="21"/>
      <c r="C2846" s="21"/>
      <c r="D2846" s="21"/>
      <c r="E2846" s="21"/>
      <c r="F2846" s="21"/>
      <c r="G2846" s="21"/>
      <c r="H2846" s="21"/>
      <c r="I2846" s="21"/>
      <c r="J2846" s="21"/>
      <c r="K2846" s="21"/>
      <c r="L2846" s="21"/>
      <c r="M2846" s="7"/>
      <c r="N2846" s="7"/>
      <c r="O2846" s="7"/>
      <c r="P2846" s="7"/>
      <c r="Q2846" s="7"/>
      <c r="R2846" s="7"/>
      <c r="S2846" s="7"/>
      <c r="T2846" s="7"/>
      <c r="U2846" s="7"/>
      <c r="V2846" s="7"/>
      <c r="W2846" s="7"/>
      <c r="X2846" s="7"/>
      <c r="Y2846" s="7"/>
      <c r="Z2846" s="7"/>
      <c r="AA2846" s="7"/>
      <c r="AB2846" s="7"/>
      <c r="AC2846" s="7"/>
      <c r="AD2846" s="7"/>
      <c r="AE2846" s="7"/>
    </row>
    <row r="2847">
      <c r="A2847" s="7"/>
      <c r="B2847" s="21"/>
      <c r="C2847" s="21"/>
      <c r="D2847" s="21"/>
      <c r="E2847" s="21"/>
      <c r="F2847" s="21"/>
      <c r="G2847" s="21"/>
      <c r="H2847" s="21"/>
      <c r="I2847" s="21"/>
      <c r="J2847" s="21"/>
      <c r="K2847" s="21"/>
      <c r="L2847" s="21"/>
      <c r="M2847" s="7"/>
      <c r="N2847" s="7"/>
      <c r="O2847" s="7"/>
      <c r="P2847" s="7"/>
      <c r="Q2847" s="7"/>
      <c r="R2847" s="7"/>
      <c r="S2847" s="7"/>
      <c r="T2847" s="7"/>
      <c r="U2847" s="7"/>
      <c r="V2847" s="7"/>
      <c r="W2847" s="7"/>
      <c r="X2847" s="7"/>
      <c r="Y2847" s="7"/>
      <c r="Z2847" s="7"/>
      <c r="AA2847" s="7"/>
      <c r="AB2847" s="7"/>
      <c r="AC2847" s="7"/>
      <c r="AD2847" s="7"/>
      <c r="AE2847" s="7"/>
    </row>
    <row r="2848">
      <c r="A2848" s="7"/>
      <c r="B2848" s="21"/>
      <c r="C2848" s="21"/>
      <c r="D2848" s="21"/>
      <c r="E2848" s="21"/>
      <c r="F2848" s="21"/>
      <c r="G2848" s="21"/>
      <c r="H2848" s="21"/>
      <c r="I2848" s="21"/>
      <c r="J2848" s="21"/>
      <c r="K2848" s="21"/>
      <c r="L2848" s="21"/>
      <c r="M2848" s="7"/>
      <c r="N2848" s="7"/>
      <c r="O2848" s="7"/>
      <c r="P2848" s="7"/>
      <c r="Q2848" s="7"/>
      <c r="R2848" s="7"/>
      <c r="S2848" s="7"/>
      <c r="T2848" s="7"/>
      <c r="U2848" s="7"/>
      <c r="V2848" s="7"/>
      <c r="W2848" s="7"/>
      <c r="X2848" s="7"/>
      <c r="Y2848" s="7"/>
      <c r="Z2848" s="7"/>
      <c r="AA2848" s="7"/>
      <c r="AB2848" s="7"/>
      <c r="AC2848" s="7"/>
      <c r="AD2848" s="7"/>
      <c r="AE2848" s="7"/>
    </row>
    <row r="2849">
      <c r="A2849" s="7"/>
      <c r="B2849" s="21"/>
      <c r="C2849" s="21"/>
      <c r="D2849" s="21"/>
      <c r="E2849" s="21"/>
      <c r="F2849" s="21"/>
      <c r="G2849" s="21"/>
      <c r="H2849" s="21"/>
      <c r="I2849" s="21"/>
      <c r="J2849" s="21"/>
      <c r="K2849" s="21"/>
      <c r="L2849" s="21"/>
      <c r="M2849" s="7"/>
      <c r="N2849" s="7"/>
      <c r="O2849" s="7"/>
      <c r="P2849" s="7"/>
      <c r="Q2849" s="7"/>
      <c r="R2849" s="7"/>
      <c r="S2849" s="7"/>
      <c r="T2849" s="7"/>
      <c r="U2849" s="7"/>
      <c r="V2849" s="7"/>
      <c r="W2849" s="7"/>
      <c r="X2849" s="7"/>
      <c r="Y2849" s="7"/>
      <c r="Z2849" s="7"/>
      <c r="AA2849" s="7"/>
      <c r="AB2849" s="7"/>
      <c r="AC2849" s="7"/>
      <c r="AD2849" s="7"/>
      <c r="AE2849" s="7"/>
    </row>
    <row r="2850">
      <c r="A2850" s="7"/>
      <c r="B2850" s="21"/>
      <c r="C2850" s="21"/>
      <c r="D2850" s="21"/>
      <c r="E2850" s="21"/>
      <c r="F2850" s="21"/>
      <c r="G2850" s="21"/>
      <c r="H2850" s="21"/>
      <c r="I2850" s="21"/>
      <c r="J2850" s="21"/>
      <c r="K2850" s="21"/>
      <c r="L2850" s="21"/>
      <c r="M2850" s="7"/>
      <c r="N2850" s="7"/>
      <c r="O2850" s="7"/>
      <c r="P2850" s="7"/>
      <c r="Q2850" s="7"/>
      <c r="R2850" s="7"/>
      <c r="S2850" s="7"/>
      <c r="T2850" s="7"/>
      <c r="U2850" s="7"/>
      <c r="V2850" s="7"/>
      <c r="W2850" s="7"/>
      <c r="X2850" s="7"/>
      <c r="Y2850" s="7"/>
      <c r="Z2850" s="7"/>
      <c r="AA2850" s="7"/>
      <c r="AB2850" s="7"/>
      <c r="AC2850" s="7"/>
      <c r="AD2850" s="7"/>
      <c r="AE2850" s="7"/>
    </row>
    <row r="2851">
      <c r="A2851" s="7"/>
      <c r="B2851" s="21"/>
      <c r="C2851" s="21"/>
      <c r="D2851" s="21"/>
      <c r="E2851" s="21"/>
      <c r="F2851" s="21"/>
      <c r="G2851" s="21"/>
      <c r="H2851" s="21"/>
      <c r="I2851" s="21"/>
      <c r="J2851" s="21"/>
      <c r="K2851" s="21"/>
      <c r="L2851" s="21"/>
      <c r="M2851" s="7"/>
      <c r="N2851" s="7"/>
      <c r="O2851" s="7"/>
      <c r="P2851" s="7"/>
      <c r="Q2851" s="7"/>
      <c r="R2851" s="7"/>
      <c r="S2851" s="7"/>
      <c r="T2851" s="7"/>
      <c r="U2851" s="7"/>
      <c r="V2851" s="7"/>
      <c r="W2851" s="7"/>
      <c r="X2851" s="7"/>
      <c r="Y2851" s="7"/>
      <c r="Z2851" s="7"/>
      <c r="AA2851" s="7"/>
      <c r="AB2851" s="7"/>
      <c r="AC2851" s="7"/>
      <c r="AD2851" s="7"/>
      <c r="AE2851" s="7"/>
    </row>
    <row r="2852">
      <c r="A2852" s="7"/>
      <c r="B2852" s="21"/>
      <c r="C2852" s="21"/>
      <c r="D2852" s="21"/>
      <c r="E2852" s="21"/>
      <c r="F2852" s="21"/>
      <c r="G2852" s="21"/>
      <c r="H2852" s="21"/>
      <c r="I2852" s="21"/>
      <c r="J2852" s="21"/>
      <c r="K2852" s="21"/>
      <c r="L2852" s="21"/>
      <c r="M2852" s="7"/>
      <c r="N2852" s="7"/>
      <c r="O2852" s="7"/>
      <c r="P2852" s="7"/>
      <c r="Q2852" s="7"/>
      <c r="R2852" s="7"/>
      <c r="S2852" s="7"/>
      <c r="T2852" s="7"/>
      <c r="U2852" s="7"/>
      <c r="V2852" s="7"/>
      <c r="W2852" s="7"/>
      <c r="X2852" s="7"/>
      <c r="Y2852" s="7"/>
      <c r="Z2852" s="7"/>
      <c r="AA2852" s="7"/>
      <c r="AB2852" s="7"/>
      <c r="AC2852" s="7"/>
      <c r="AD2852" s="7"/>
      <c r="AE2852" s="7"/>
    </row>
    <row r="2853">
      <c r="A2853" s="7"/>
      <c r="B2853" s="21"/>
      <c r="C2853" s="21"/>
      <c r="D2853" s="21"/>
      <c r="E2853" s="21"/>
      <c r="F2853" s="21"/>
      <c r="G2853" s="21"/>
      <c r="H2853" s="21"/>
      <c r="I2853" s="21"/>
      <c r="J2853" s="21"/>
      <c r="K2853" s="21"/>
      <c r="L2853" s="21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</row>
    <row r="2854">
      <c r="A2854" s="7"/>
      <c r="B2854" s="21"/>
      <c r="C2854" s="21"/>
      <c r="D2854" s="21"/>
      <c r="E2854" s="21"/>
      <c r="F2854" s="21"/>
      <c r="G2854" s="21"/>
      <c r="H2854" s="21"/>
      <c r="I2854" s="21"/>
      <c r="J2854" s="21"/>
      <c r="K2854" s="21"/>
      <c r="L2854" s="21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</row>
    <row r="2855">
      <c r="A2855" s="7"/>
      <c r="B2855" s="21"/>
      <c r="C2855" s="21"/>
      <c r="D2855" s="21"/>
      <c r="E2855" s="21"/>
      <c r="F2855" s="21"/>
      <c r="G2855" s="21"/>
      <c r="H2855" s="21"/>
      <c r="I2855" s="21"/>
      <c r="J2855" s="21"/>
      <c r="K2855" s="21"/>
      <c r="L2855" s="21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</row>
    <row r="2856">
      <c r="A2856" s="7"/>
      <c r="B2856" s="21"/>
      <c r="C2856" s="21"/>
      <c r="D2856" s="21"/>
      <c r="E2856" s="21"/>
      <c r="F2856" s="21"/>
      <c r="G2856" s="21"/>
      <c r="H2856" s="21"/>
      <c r="I2856" s="21"/>
      <c r="J2856" s="21"/>
      <c r="K2856" s="21"/>
      <c r="L2856" s="21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</row>
    <row r="2857">
      <c r="A2857" s="7"/>
      <c r="B2857" s="21"/>
      <c r="C2857" s="21"/>
      <c r="D2857" s="21"/>
      <c r="E2857" s="21"/>
      <c r="F2857" s="21"/>
      <c r="G2857" s="21"/>
      <c r="H2857" s="21"/>
      <c r="I2857" s="21"/>
      <c r="J2857" s="21"/>
      <c r="K2857" s="21"/>
      <c r="L2857" s="21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</row>
    <row r="2858">
      <c r="A2858" s="7"/>
      <c r="B2858" s="21"/>
      <c r="C2858" s="21"/>
      <c r="D2858" s="21"/>
      <c r="E2858" s="21"/>
      <c r="F2858" s="21"/>
      <c r="G2858" s="21"/>
      <c r="H2858" s="21"/>
      <c r="I2858" s="21"/>
      <c r="J2858" s="21"/>
      <c r="K2858" s="21"/>
      <c r="L2858" s="21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</row>
    <row r="2859">
      <c r="A2859" s="7"/>
      <c r="B2859" s="21"/>
      <c r="C2859" s="21"/>
      <c r="D2859" s="21"/>
      <c r="E2859" s="21"/>
      <c r="F2859" s="21"/>
      <c r="G2859" s="21"/>
      <c r="H2859" s="21"/>
      <c r="I2859" s="21"/>
      <c r="J2859" s="21"/>
      <c r="K2859" s="21"/>
      <c r="L2859" s="21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</row>
    <row r="2860">
      <c r="A2860" s="7"/>
      <c r="B2860" s="21"/>
      <c r="C2860" s="21"/>
      <c r="D2860" s="21"/>
      <c r="E2860" s="21"/>
      <c r="F2860" s="21"/>
      <c r="G2860" s="21"/>
      <c r="H2860" s="21"/>
      <c r="I2860" s="21"/>
      <c r="J2860" s="21"/>
      <c r="K2860" s="21"/>
      <c r="L2860" s="21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</row>
    <row r="2861">
      <c r="A2861" s="7"/>
      <c r="B2861" s="21"/>
      <c r="C2861" s="21"/>
      <c r="D2861" s="21"/>
      <c r="E2861" s="21"/>
      <c r="F2861" s="21"/>
      <c r="G2861" s="21"/>
      <c r="H2861" s="21"/>
      <c r="I2861" s="21"/>
      <c r="J2861" s="21"/>
      <c r="K2861" s="21"/>
      <c r="L2861" s="21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</row>
    <row r="2862">
      <c r="A2862" s="7"/>
      <c r="B2862" s="21"/>
      <c r="C2862" s="21"/>
      <c r="D2862" s="21"/>
      <c r="E2862" s="21"/>
      <c r="F2862" s="21"/>
      <c r="G2862" s="21"/>
      <c r="H2862" s="21"/>
      <c r="I2862" s="21"/>
      <c r="J2862" s="21"/>
      <c r="K2862" s="21"/>
      <c r="L2862" s="21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</row>
    <row r="2863">
      <c r="A2863" s="7"/>
      <c r="B2863" s="21"/>
      <c r="C2863" s="21"/>
      <c r="D2863" s="21"/>
      <c r="E2863" s="21"/>
      <c r="F2863" s="21"/>
      <c r="G2863" s="21"/>
      <c r="H2863" s="21"/>
      <c r="I2863" s="21"/>
      <c r="J2863" s="21"/>
      <c r="K2863" s="21"/>
      <c r="L2863" s="21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</row>
    <row r="2864">
      <c r="A2864" s="7"/>
      <c r="B2864" s="21"/>
      <c r="C2864" s="21"/>
      <c r="D2864" s="21"/>
      <c r="E2864" s="21"/>
      <c r="F2864" s="21"/>
      <c r="G2864" s="21"/>
      <c r="H2864" s="21"/>
      <c r="I2864" s="21"/>
      <c r="J2864" s="21"/>
      <c r="K2864" s="21"/>
      <c r="L2864" s="21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</row>
    <row r="2865">
      <c r="A2865" s="7"/>
      <c r="B2865" s="21"/>
      <c r="C2865" s="21"/>
      <c r="D2865" s="21"/>
      <c r="E2865" s="21"/>
      <c r="F2865" s="21"/>
      <c r="G2865" s="21"/>
      <c r="H2865" s="21"/>
      <c r="I2865" s="21"/>
      <c r="J2865" s="21"/>
      <c r="K2865" s="21"/>
      <c r="L2865" s="21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</row>
    <row r="2866">
      <c r="A2866" s="7"/>
      <c r="B2866" s="21"/>
      <c r="C2866" s="21"/>
      <c r="D2866" s="21"/>
      <c r="E2866" s="21"/>
      <c r="F2866" s="21"/>
      <c r="G2866" s="21"/>
      <c r="H2866" s="21"/>
      <c r="I2866" s="21"/>
      <c r="J2866" s="21"/>
      <c r="K2866" s="21"/>
      <c r="L2866" s="21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</row>
    <row r="2867">
      <c r="A2867" s="7"/>
      <c r="B2867" s="21"/>
      <c r="C2867" s="21"/>
      <c r="D2867" s="21"/>
      <c r="E2867" s="21"/>
      <c r="F2867" s="21"/>
      <c r="G2867" s="21"/>
      <c r="H2867" s="21"/>
      <c r="I2867" s="21"/>
      <c r="J2867" s="21"/>
      <c r="K2867" s="21"/>
      <c r="L2867" s="21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</row>
    <row r="2868">
      <c r="A2868" s="7"/>
      <c r="B2868" s="21"/>
      <c r="C2868" s="21"/>
      <c r="D2868" s="21"/>
      <c r="E2868" s="21"/>
      <c r="F2868" s="21"/>
      <c r="G2868" s="21"/>
      <c r="H2868" s="21"/>
      <c r="I2868" s="21"/>
      <c r="J2868" s="21"/>
      <c r="K2868" s="21"/>
      <c r="L2868" s="21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</row>
    <row r="2869">
      <c r="A2869" s="7"/>
      <c r="B2869" s="21"/>
      <c r="C2869" s="21"/>
      <c r="D2869" s="21"/>
      <c r="E2869" s="21"/>
      <c r="F2869" s="21"/>
      <c r="G2869" s="21"/>
      <c r="H2869" s="21"/>
      <c r="I2869" s="21"/>
      <c r="J2869" s="21"/>
      <c r="K2869" s="21"/>
      <c r="L2869" s="21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</row>
    <row r="2870">
      <c r="A2870" s="7"/>
      <c r="B2870" s="21"/>
      <c r="C2870" s="21"/>
      <c r="D2870" s="21"/>
      <c r="E2870" s="21"/>
      <c r="F2870" s="21"/>
      <c r="G2870" s="21"/>
      <c r="H2870" s="21"/>
      <c r="I2870" s="21"/>
      <c r="J2870" s="21"/>
      <c r="K2870" s="21"/>
      <c r="L2870" s="21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</row>
    <row r="2871">
      <c r="A2871" s="7"/>
      <c r="B2871" s="21"/>
      <c r="C2871" s="21"/>
      <c r="D2871" s="21"/>
      <c r="E2871" s="21"/>
      <c r="F2871" s="21"/>
      <c r="G2871" s="21"/>
      <c r="H2871" s="21"/>
      <c r="I2871" s="21"/>
      <c r="J2871" s="21"/>
      <c r="K2871" s="21"/>
      <c r="L2871" s="21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</row>
    <row r="2872">
      <c r="A2872" s="7"/>
      <c r="B2872" s="21"/>
      <c r="C2872" s="21"/>
      <c r="D2872" s="21"/>
      <c r="E2872" s="21"/>
      <c r="F2872" s="21"/>
      <c r="G2872" s="21"/>
      <c r="H2872" s="21"/>
      <c r="I2872" s="21"/>
      <c r="J2872" s="21"/>
      <c r="K2872" s="21"/>
      <c r="L2872" s="21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</row>
    <row r="2873">
      <c r="A2873" s="7"/>
      <c r="B2873" s="21"/>
      <c r="C2873" s="21"/>
      <c r="D2873" s="21"/>
      <c r="E2873" s="21"/>
      <c r="F2873" s="21"/>
      <c r="G2873" s="21"/>
      <c r="H2873" s="21"/>
      <c r="I2873" s="21"/>
      <c r="J2873" s="21"/>
      <c r="K2873" s="21"/>
      <c r="L2873" s="21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</row>
    <row r="2874">
      <c r="A2874" s="7"/>
      <c r="B2874" s="21"/>
      <c r="C2874" s="21"/>
      <c r="D2874" s="21"/>
      <c r="E2874" s="21"/>
      <c r="F2874" s="21"/>
      <c r="G2874" s="21"/>
      <c r="H2874" s="21"/>
      <c r="I2874" s="21"/>
      <c r="J2874" s="21"/>
      <c r="K2874" s="21"/>
      <c r="L2874" s="21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</row>
    <row r="2875">
      <c r="A2875" s="7"/>
      <c r="B2875" s="21"/>
      <c r="C2875" s="21"/>
      <c r="D2875" s="21"/>
      <c r="E2875" s="21"/>
      <c r="F2875" s="21"/>
      <c r="G2875" s="21"/>
      <c r="H2875" s="21"/>
      <c r="I2875" s="21"/>
      <c r="J2875" s="21"/>
      <c r="K2875" s="21"/>
      <c r="L2875" s="21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</row>
    <row r="2876">
      <c r="A2876" s="7"/>
      <c r="B2876" s="21"/>
      <c r="C2876" s="21"/>
      <c r="D2876" s="21"/>
      <c r="E2876" s="21"/>
      <c r="F2876" s="21"/>
      <c r="G2876" s="21"/>
      <c r="H2876" s="21"/>
      <c r="I2876" s="21"/>
      <c r="J2876" s="21"/>
      <c r="K2876" s="21"/>
      <c r="L2876" s="21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</row>
    <row r="2877">
      <c r="A2877" s="7"/>
      <c r="B2877" s="21"/>
      <c r="C2877" s="21"/>
      <c r="D2877" s="21"/>
      <c r="E2877" s="21"/>
      <c r="F2877" s="21"/>
      <c r="G2877" s="21"/>
      <c r="H2877" s="21"/>
      <c r="I2877" s="21"/>
      <c r="J2877" s="21"/>
      <c r="K2877" s="21"/>
      <c r="L2877" s="21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</row>
    <row r="2878">
      <c r="A2878" s="7"/>
      <c r="B2878" s="21"/>
      <c r="C2878" s="21"/>
      <c r="D2878" s="21"/>
      <c r="E2878" s="21"/>
      <c r="F2878" s="21"/>
      <c r="G2878" s="21"/>
      <c r="H2878" s="21"/>
      <c r="I2878" s="21"/>
      <c r="J2878" s="21"/>
      <c r="K2878" s="21"/>
      <c r="L2878" s="21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</row>
    <row r="2879">
      <c r="A2879" s="7"/>
      <c r="B2879" s="21"/>
      <c r="C2879" s="21"/>
      <c r="D2879" s="21"/>
      <c r="E2879" s="21"/>
      <c r="F2879" s="21"/>
      <c r="G2879" s="21"/>
      <c r="H2879" s="21"/>
      <c r="I2879" s="21"/>
      <c r="J2879" s="21"/>
      <c r="K2879" s="21"/>
      <c r="L2879" s="21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</row>
    <row r="2880">
      <c r="A2880" s="7"/>
      <c r="B2880" s="21"/>
      <c r="C2880" s="21"/>
      <c r="D2880" s="21"/>
      <c r="E2880" s="21"/>
      <c r="F2880" s="21"/>
      <c r="G2880" s="21"/>
      <c r="H2880" s="21"/>
      <c r="I2880" s="21"/>
      <c r="J2880" s="21"/>
      <c r="K2880" s="21"/>
      <c r="L2880" s="21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</row>
    <row r="2881">
      <c r="A2881" s="7"/>
      <c r="B2881" s="21"/>
      <c r="C2881" s="21"/>
      <c r="D2881" s="21"/>
      <c r="E2881" s="21"/>
      <c r="F2881" s="21"/>
      <c r="G2881" s="21"/>
      <c r="H2881" s="21"/>
      <c r="I2881" s="21"/>
      <c r="J2881" s="21"/>
      <c r="K2881" s="21"/>
      <c r="L2881" s="21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</row>
    <row r="2882">
      <c r="A2882" s="7"/>
      <c r="B2882" s="21"/>
      <c r="C2882" s="21"/>
      <c r="D2882" s="21"/>
      <c r="E2882" s="21"/>
      <c r="F2882" s="21"/>
      <c r="G2882" s="21"/>
      <c r="H2882" s="21"/>
      <c r="I2882" s="21"/>
      <c r="J2882" s="21"/>
      <c r="K2882" s="21"/>
      <c r="L2882" s="21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</row>
    <row r="2883">
      <c r="A2883" s="7"/>
      <c r="B2883" s="21"/>
      <c r="C2883" s="21"/>
      <c r="D2883" s="21"/>
      <c r="E2883" s="21"/>
      <c r="F2883" s="21"/>
      <c r="G2883" s="21"/>
      <c r="H2883" s="21"/>
      <c r="I2883" s="21"/>
      <c r="J2883" s="21"/>
      <c r="K2883" s="21"/>
      <c r="L2883" s="21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</row>
    <row r="2884">
      <c r="A2884" s="7"/>
      <c r="B2884" s="21"/>
      <c r="C2884" s="21"/>
      <c r="D2884" s="21"/>
      <c r="E2884" s="21"/>
      <c r="F2884" s="21"/>
      <c r="G2884" s="21"/>
      <c r="H2884" s="21"/>
      <c r="I2884" s="21"/>
      <c r="J2884" s="21"/>
      <c r="K2884" s="21"/>
      <c r="L2884" s="21"/>
      <c r="M2884" s="7"/>
      <c r="N2884" s="7"/>
      <c r="O2884" s="7"/>
      <c r="P2884" s="7"/>
      <c r="Q2884" s="7"/>
      <c r="R2884" s="7"/>
      <c r="S2884" s="7"/>
      <c r="T2884" s="7"/>
      <c r="U2884" s="7"/>
      <c r="V2884" s="7"/>
      <c r="W2884" s="7"/>
      <c r="X2884" s="7"/>
      <c r="Y2884" s="7"/>
      <c r="Z2884" s="7"/>
      <c r="AA2884" s="7"/>
      <c r="AB2884" s="7"/>
      <c r="AC2884" s="7"/>
      <c r="AD2884" s="7"/>
      <c r="AE2884" s="7"/>
    </row>
    <row r="2885">
      <c r="A2885" s="7"/>
      <c r="B2885" s="21"/>
      <c r="C2885" s="21"/>
      <c r="D2885" s="21"/>
      <c r="E2885" s="21"/>
      <c r="F2885" s="21"/>
      <c r="G2885" s="21"/>
      <c r="H2885" s="21"/>
      <c r="I2885" s="21"/>
      <c r="J2885" s="21"/>
      <c r="K2885" s="21"/>
      <c r="L2885" s="21"/>
      <c r="M2885" s="7"/>
      <c r="N2885" s="7"/>
      <c r="O2885" s="7"/>
      <c r="P2885" s="7"/>
      <c r="Q2885" s="7"/>
      <c r="R2885" s="7"/>
      <c r="S2885" s="7"/>
      <c r="T2885" s="7"/>
      <c r="U2885" s="7"/>
      <c r="V2885" s="7"/>
      <c r="W2885" s="7"/>
      <c r="X2885" s="7"/>
      <c r="Y2885" s="7"/>
      <c r="Z2885" s="7"/>
      <c r="AA2885" s="7"/>
      <c r="AB2885" s="7"/>
      <c r="AC2885" s="7"/>
      <c r="AD2885" s="7"/>
      <c r="AE2885" s="7"/>
    </row>
    <row r="2886">
      <c r="A2886" s="7"/>
      <c r="B2886" s="21"/>
      <c r="C2886" s="21"/>
      <c r="D2886" s="21"/>
      <c r="E2886" s="21"/>
      <c r="F2886" s="21"/>
      <c r="G2886" s="21"/>
      <c r="H2886" s="21"/>
      <c r="I2886" s="21"/>
      <c r="J2886" s="21"/>
      <c r="K2886" s="21"/>
      <c r="L2886" s="21"/>
      <c r="M2886" s="7"/>
      <c r="N2886" s="7"/>
      <c r="O2886" s="7"/>
      <c r="P2886" s="7"/>
      <c r="Q2886" s="7"/>
      <c r="R2886" s="7"/>
      <c r="S2886" s="7"/>
      <c r="T2886" s="7"/>
      <c r="U2886" s="7"/>
      <c r="V2886" s="7"/>
      <c r="W2886" s="7"/>
      <c r="X2886" s="7"/>
      <c r="Y2886" s="7"/>
      <c r="Z2886" s="7"/>
      <c r="AA2886" s="7"/>
      <c r="AB2886" s="7"/>
      <c r="AC2886" s="7"/>
      <c r="AD2886" s="7"/>
      <c r="AE2886" s="7"/>
    </row>
    <row r="2887">
      <c r="A2887" s="7"/>
      <c r="B2887" s="21"/>
      <c r="C2887" s="21"/>
      <c r="D2887" s="21"/>
      <c r="E2887" s="21"/>
      <c r="F2887" s="21"/>
      <c r="G2887" s="21"/>
      <c r="H2887" s="21"/>
      <c r="I2887" s="21"/>
      <c r="J2887" s="21"/>
      <c r="K2887" s="21"/>
      <c r="L2887" s="21"/>
      <c r="M2887" s="7"/>
      <c r="N2887" s="7"/>
      <c r="O2887" s="7"/>
      <c r="P2887" s="7"/>
      <c r="Q2887" s="7"/>
      <c r="R2887" s="7"/>
      <c r="S2887" s="7"/>
      <c r="T2887" s="7"/>
      <c r="U2887" s="7"/>
      <c r="V2887" s="7"/>
      <c r="W2887" s="7"/>
      <c r="X2887" s="7"/>
      <c r="Y2887" s="7"/>
      <c r="Z2887" s="7"/>
      <c r="AA2887" s="7"/>
      <c r="AB2887" s="7"/>
      <c r="AC2887" s="7"/>
      <c r="AD2887" s="7"/>
      <c r="AE2887" s="7"/>
    </row>
    <row r="2888">
      <c r="A2888" s="7"/>
      <c r="B2888" s="21"/>
      <c r="C2888" s="21"/>
      <c r="D2888" s="21"/>
      <c r="E2888" s="21"/>
      <c r="F2888" s="21"/>
      <c r="G2888" s="21"/>
      <c r="H2888" s="21"/>
      <c r="I2888" s="21"/>
      <c r="J2888" s="21"/>
      <c r="K2888" s="21"/>
      <c r="L2888" s="21"/>
      <c r="M2888" s="7"/>
      <c r="N2888" s="7"/>
      <c r="O2888" s="7"/>
      <c r="P2888" s="7"/>
      <c r="Q2888" s="7"/>
      <c r="R2888" s="7"/>
      <c r="S2888" s="7"/>
      <c r="T2888" s="7"/>
      <c r="U2888" s="7"/>
      <c r="V2888" s="7"/>
      <c r="W2888" s="7"/>
      <c r="X2888" s="7"/>
      <c r="Y2888" s="7"/>
      <c r="Z2888" s="7"/>
      <c r="AA2888" s="7"/>
      <c r="AB2888" s="7"/>
      <c r="AC2888" s="7"/>
      <c r="AD2888" s="7"/>
      <c r="AE2888" s="7"/>
    </row>
    <row r="2889">
      <c r="A2889" s="7"/>
      <c r="B2889" s="21"/>
      <c r="C2889" s="21"/>
      <c r="D2889" s="21"/>
      <c r="E2889" s="21"/>
      <c r="F2889" s="21"/>
      <c r="G2889" s="21"/>
      <c r="H2889" s="21"/>
      <c r="I2889" s="21"/>
      <c r="J2889" s="21"/>
      <c r="K2889" s="21"/>
      <c r="L2889" s="21"/>
      <c r="M2889" s="7"/>
      <c r="N2889" s="7"/>
      <c r="O2889" s="7"/>
      <c r="P2889" s="7"/>
      <c r="Q2889" s="7"/>
      <c r="R2889" s="7"/>
      <c r="S2889" s="7"/>
      <c r="T2889" s="7"/>
      <c r="U2889" s="7"/>
      <c r="V2889" s="7"/>
      <c r="W2889" s="7"/>
      <c r="X2889" s="7"/>
      <c r="Y2889" s="7"/>
      <c r="Z2889" s="7"/>
      <c r="AA2889" s="7"/>
      <c r="AB2889" s="7"/>
      <c r="AC2889" s="7"/>
      <c r="AD2889" s="7"/>
      <c r="AE2889" s="7"/>
    </row>
    <row r="2890">
      <c r="A2890" s="7"/>
      <c r="B2890" s="21"/>
      <c r="C2890" s="21"/>
      <c r="D2890" s="21"/>
      <c r="E2890" s="21"/>
      <c r="F2890" s="21"/>
      <c r="G2890" s="21"/>
      <c r="H2890" s="21"/>
      <c r="I2890" s="21"/>
      <c r="J2890" s="21"/>
      <c r="K2890" s="21"/>
      <c r="L2890" s="21"/>
      <c r="M2890" s="7"/>
      <c r="N2890" s="7"/>
      <c r="O2890" s="7"/>
      <c r="P2890" s="7"/>
      <c r="Q2890" s="7"/>
      <c r="R2890" s="7"/>
      <c r="S2890" s="7"/>
      <c r="T2890" s="7"/>
      <c r="U2890" s="7"/>
      <c r="V2890" s="7"/>
      <c r="W2890" s="7"/>
      <c r="X2890" s="7"/>
      <c r="Y2890" s="7"/>
      <c r="Z2890" s="7"/>
      <c r="AA2890" s="7"/>
      <c r="AB2890" s="7"/>
      <c r="AC2890" s="7"/>
      <c r="AD2890" s="7"/>
      <c r="AE2890" s="7"/>
    </row>
    <row r="2891">
      <c r="A2891" s="7"/>
      <c r="B2891" s="21"/>
      <c r="C2891" s="21"/>
      <c r="D2891" s="21"/>
      <c r="E2891" s="21"/>
      <c r="F2891" s="21"/>
      <c r="G2891" s="21"/>
      <c r="H2891" s="21"/>
      <c r="I2891" s="21"/>
      <c r="J2891" s="21"/>
      <c r="K2891" s="21"/>
      <c r="L2891" s="21"/>
      <c r="M2891" s="7"/>
      <c r="N2891" s="7"/>
      <c r="O2891" s="7"/>
      <c r="P2891" s="7"/>
      <c r="Q2891" s="7"/>
      <c r="R2891" s="7"/>
      <c r="S2891" s="7"/>
      <c r="T2891" s="7"/>
      <c r="U2891" s="7"/>
      <c r="V2891" s="7"/>
      <c r="W2891" s="7"/>
      <c r="X2891" s="7"/>
      <c r="Y2891" s="7"/>
      <c r="Z2891" s="7"/>
      <c r="AA2891" s="7"/>
      <c r="AB2891" s="7"/>
      <c r="AC2891" s="7"/>
      <c r="AD2891" s="7"/>
      <c r="AE2891" s="7"/>
    </row>
    <row r="2892">
      <c r="A2892" s="7"/>
      <c r="B2892" s="21"/>
      <c r="C2892" s="21"/>
      <c r="D2892" s="21"/>
      <c r="E2892" s="21"/>
      <c r="F2892" s="21"/>
      <c r="G2892" s="21"/>
      <c r="H2892" s="21"/>
      <c r="I2892" s="21"/>
      <c r="J2892" s="21"/>
      <c r="K2892" s="21"/>
      <c r="L2892" s="21"/>
      <c r="M2892" s="7"/>
      <c r="N2892" s="7"/>
      <c r="O2892" s="7"/>
      <c r="P2892" s="7"/>
      <c r="Q2892" s="7"/>
      <c r="R2892" s="7"/>
      <c r="S2892" s="7"/>
      <c r="T2892" s="7"/>
      <c r="U2892" s="7"/>
      <c r="V2892" s="7"/>
      <c r="W2892" s="7"/>
      <c r="X2892" s="7"/>
      <c r="Y2892" s="7"/>
      <c r="Z2892" s="7"/>
      <c r="AA2892" s="7"/>
      <c r="AB2892" s="7"/>
      <c r="AC2892" s="7"/>
      <c r="AD2892" s="7"/>
      <c r="AE2892" s="7"/>
    </row>
    <row r="2893">
      <c r="A2893" s="7"/>
      <c r="B2893" s="21"/>
      <c r="C2893" s="21"/>
      <c r="D2893" s="21"/>
      <c r="E2893" s="21"/>
      <c r="F2893" s="21"/>
      <c r="G2893" s="21"/>
      <c r="H2893" s="21"/>
      <c r="I2893" s="21"/>
      <c r="J2893" s="21"/>
      <c r="K2893" s="21"/>
      <c r="L2893" s="21"/>
      <c r="M2893" s="7"/>
      <c r="N2893" s="7"/>
      <c r="O2893" s="7"/>
      <c r="P2893" s="7"/>
      <c r="Q2893" s="7"/>
      <c r="R2893" s="7"/>
      <c r="S2893" s="7"/>
      <c r="T2893" s="7"/>
      <c r="U2893" s="7"/>
      <c r="V2893" s="7"/>
      <c r="W2893" s="7"/>
      <c r="X2893" s="7"/>
      <c r="Y2893" s="7"/>
      <c r="Z2893" s="7"/>
      <c r="AA2893" s="7"/>
      <c r="AB2893" s="7"/>
      <c r="AC2893" s="7"/>
      <c r="AD2893" s="7"/>
      <c r="AE2893" s="7"/>
    </row>
    <row r="2894">
      <c r="A2894" s="7"/>
      <c r="B2894" s="21"/>
      <c r="C2894" s="21"/>
      <c r="D2894" s="21"/>
      <c r="E2894" s="21"/>
      <c r="F2894" s="21"/>
      <c r="G2894" s="21"/>
      <c r="H2894" s="21"/>
      <c r="I2894" s="21"/>
      <c r="J2894" s="21"/>
      <c r="K2894" s="21"/>
      <c r="L2894" s="21"/>
      <c r="M2894" s="7"/>
      <c r="N2894" s="7"/>
      <c r="O2894" s="7"/>
      <c r="P2894" s="7"/>
      <c r="Q2894" s="7"/>
      <c r="R2894" s="7"/>
      <c r="S2894" s="7"/>
      <c r="T2894" s="7"/>
      <c r="U2894" s="7"/>
      <c r="V2894" s="7"/>
      <c r="W2894" s="7"/>
      <c r="X2894" s="7"/>
      <c r="Y2894" s="7"/>
      <c r="Z2894" s="7"/>
      <c r="AA2894" s="7"/>
      <c r="AB2894" s="7"/>
      <c r="AC2894" s="7"/>
      <c r="AD2894" s="7"/>
      <c r="AE2894" s="7"/>
    </row>
    <row r="2895">
      <c r="A2895" s="7"/>
      <c r="B2895" s="21"/>
      <c r="C2895" s="21"/>
      <c r="D2895" s="21"/>
      <c r="E2895" s="21"/>
      <c r="F2895" s="21"/>
      <c r="G2895" s="21"/>
      <c r="H2895" s="21"/>
      <c r="I2895" s="21"/>
      <c r="J2895" s="21"/>
      <c r="K2895" s="21"/>
      <c r="L2895" s="21"/>
      <c r="M2895" s="7"/>
      <c r="N2895" s="7"/>
      <c r="O2895" s="7"/>
      <c r="P2895" s="7"/>
      <c r="Q2895" s="7"/>
      <c r="R2895" s="7"/>
      <c r="S2895" s="7"/>
      <c r="T2895" s="7"/>
      <c r="U2895" s="7"/>
      <c r="V2895" s="7"/>
      <c r="W2895" s="7"/>
      <c r="X2895" s="7"/>
      <c r="Y2895" s="7"/>
      <c r="Z2895" s="7"/>
      <c r="AA2895" s="7"/>
      <c r="AB2895" s="7"/>
      <c r="AC2895" s="7"/>
      <c r="AD2895" s="7"/>
      <c r="AE2895" s="7"/>
    </row>
    <row r="2896">
      <c r="A2896" s="7"/>
      <c r="B2896" s="21"/>
      <c r="C2896" s="21"/>
      <c r="D2896" s="21"/>
      <c r="E2896" s="21"/>
      <c r="F2896" s="21"/>
      <c r="G2896" s="21"/>
      <c r="H2896" s="21"/>
      <c r="I2896" s="21"/>
      <c r="J2896" s="21"/>
      <c r="K2896" s="21"/>
      <c r="L2896" s="21"/>
      <c r="M2896" s="7"/>
      <c r="N2896" s="7"/>
      <c r="O2896" s="7"/>
      <c r="P2896" s="7"/>
      <c r="Q2896" s="7"/>
      <c r="R2896" s="7"/>
      <c r="S2896" s="7"/>
      <c r="T2896" s="7"/>
      <c r="U2896" s="7"/>
      <c r="V2896" s="7"/>
      <c r="W2896" s="7"/>
      <c r="X2896" s="7"/>
      <c r="Y2896" s="7"/>
      <c r="Z2896" s="7"/>
      <c r="AA2896" s="7"/>
      <c r="AB2896" s="7"/>
      <c r="AC2896" s="7"/>
      <c r="AD2896" s="7"/>
      <c r="AE2896" s="7"/>
    </row>
    <row r="2897">
      <c r="A2897" s="7"/>
      <c r="B2897" s="21"/>
      <c r="C2897" s="21"/>
      <c r="D2897" s="21"/>
      <c r="E2897" s="21"/>
      <c r="F2897" s="21"/>
      <c r="G2897" s="21"/>
      <c r="H2897" s="21"/>
      <c r="I2897" s="21"/>
      <c r="J2897" s="21"/>
      <c r="K2897" s="21"/>
      <c r="L2897" s="21"/>
      <c r="M2897" s="7"/>
      <c r="N2897" s="7"/>
      <c r="O2897" s="7"/>
      <c r="P2897" s="7"/>
      <c r="Q2897" s="7"/>
      <c r="R2897" s="7"/>
      <c r="S2897" s="7"/>
      <c r="T2897" s="7"/>
      <c r="U2897" s="7"/>
      <c r="V2897" s="7"/>
      <c r="W2897" s="7"/>
      <c r="X2897" s="7"/>
      <c r="Y2897" s="7"/>
      <c r="Z2897" s="7"/>
      <c r="AA2897" s="7"/>
      <c r="AB2897" s="7"/>
      <c r="AC2897" s="7"/>
      <c r="AD2897" s="7"/>
      <c r="AE2897" s="7"/>
    </row>
    <row r="2898">
      <c r="A2898" s="7"/>
      <c r="B2898" s="21"/>
      <c r="C2898" s="21"/>
      <c r="D2898" s="21"/>
      <c r="E2898" s="21"/>
      <c r="F2898" s="21"/>
      <c r="G2898" s="21"/>
      <c r="H2898" s="21"/>
      <c r="I2898" s="21"/>
      <c r="J2898" s="21"/>
      <c r="K2898" s="21"/>
      <c r="L2898" s="21"/>
      <c r="M2898" s="7"/>
      <c r="N2898" s="7"/>
      <c r="O2898" s="7"/>
      <c r="P2898" s="7"/>
      <c r="Q2898" s="7"/>
      <c r="R2898" s="7"/>
      <c r="S2898" s="7"/>
      <c r="T2898" s="7"/>
      <c r="U2898" s="7"/>
      <c r="V2898" s="7"/>
      <c r="W2898" s="7"/>
      <c r="X2898" s="7"/>
      <c r="Y2898" s="7"/>
      <c r="Z2898" s="7"/>
      <c r="AA2898" s="7"/>
      <c r="AB2898" s="7"/>
      <c r="AC2898" s="7"/>
      <c r="AD2898" s="7"/>
      <c r="AE2898" s="7"/>
    </row>
    <row r="2899">
      <c r="A2899" s="7"/>
      <c r="B2899" s="21"/>
      <c r="C2899" s="21"/>
      <c r="D2899" s="21"/>
      <c r="E2899" s="21"/>
      <c r="F2899" s="21"/>
      <c r="G2899" s="21"/>
      <c r="H2899" s="21"/>
      <c r="I2899" s="21"/>
      <c r="J2899" s="21"/>
      <c r="K2899" s="21"/>
      <c r="L2899" s="21"/>
      <c r="M2899" s="7"/>
      <c r="N2899" s="7"/>
      <c r="O2899" s="7"/>
      <c r="P2899" s="7"/>
      <c r="Q2899" s="7"/>
      <c r="R2899" s="7"/>
      <c r="S2899" s="7"/>
      <c r="T2899" s="7"/>
      <c r="U2899" s="7"/>
      <c r="V2899" s="7"/>
      <c r="W2899" s="7"/>
      <c r="X2899" s="7"/>
      <c r="Y2899" s="7"/>
      <c r="Z2899" s="7"/>
      <c r="AA2899" s="7"/>
      <c r="AB2899" s="7"/>
      <c r="AC2899" s="7"/>
      <c r="AD2899" s="7"/>
      <c r="AE2899" s="7"/>
    </row>
    <row r="2900">
      <c r="A2900" s="7"/>
      <c r="B2900" s="21"/>
      <c r="C2900" s="21"/>
      <c r="D2900" s="21"/>
      <c r="E2900" s="21"/>
      <c r="F2900" s="21"/>
      <c r="G2900" s="21"/>
      <c r="H2900" s="21"/>
      <c r="I2900" s="21"/>
      <c r="J2900" s="21"/>
      <c r="K2900" s="21"/>
      <c r="L2900" s="21"/>
      <c r="M2900" s="7"/>
      <c r="N2900" s="7"/>
      <c r="O2900" s="7"/>
      <c r="P2900" s="7"/>
      <c r="Q2900" s="7"/>
      <c r="R2900" s="7"/>
      <c r="S2900" s="7"/>
      <c r="T2900" s="7"/>
      <c r="U2900" s="7"/>
      <c r="V2900" s="7"/>
      <c r="W2900" s="7"/>
      <c r="X2900" s="7"/>
      <c r="Y2900" s="7"/>
      <c r="Z2900" s="7"/>
      <c r="AA2900" s="7"/>
      <c r="AB2900" s="7"/>
      <c r="AC2900" s="7"/>
      <c r="AD2900" s="7"/>
      <c r="AE2900" s="7"/>
    </row>
    <row r="2901">
      <c r="A2901" s="7"/>
      <c r="B2901" s="21"/>
      <c r="C2901" s="21"/>
      <c r="D2901" s="21"/>
      <c r="E2901" s="21"/>
      <c r="F2901" s="21"/>
      <c r="G2901" s="21"/>
      <c r="H2901" s="21"/>
      <c r="I2901" s="21"/>
      <c r="J2901" s="21"/>
      <c r="K2901" s="21"/>
      <c r="L2901" s="21"/>
      <c r="M2901" s="7"/>
      <c r="N2901" s="7"/>
      <c r="O2901" s="7"/>
      <c r="P2901" s="7"/>
      <c r="Q2901" s="7"/>
      <c r="R2901" s="7"/>
      <c r="S2901" s="7"/>
      <c r="T2901" s="7"/>
      <c r="U2901" s="7"/>
      <c r="V2901" s="7"/>
      <c r="W2901" s="7"/>
      <c r="X2901" s="7"/>
      <c r="Y2901" s="7"/>
      <c r="Z2901" s="7"/>
      <c r="AA2901" s="7"/>
      <c r="AB2901" s="7"/>
      <c r="AC2901" s="7"/>
      <c r="AD2901" s="7"/>
      <c r="AE2901" s="7"/>
    </row>
    <row r="2902">
      <c r="A2902" s="7"/>
      <c r="B2902" s="21"/>
      <c r="C2902" s="21"/>
      <c r="D2902" s="21"/>
      <c r="E2902" s="21"/>
      <c r="F2902" s="21"/>
      <c r="G2902" s="21"/>
      <c r="H2902" s="21"/>
      <c r="I2902" s="21"/>
      <c r="J2902" s="21"/>
      <c r="K2902" s="21"/>
      <c r="L2902" s="21"/>
      <c r="M2902" s="7"/>
      <c r="N2902" s="7"/>
      <c r="O2902" s="7"/>
      <c r="P2902" s="7"/>
      <c r="Q2902" s="7"/>
      <c r="R2902" s="7"/>
      <c r="S2902" s="7"/>
      <c r="T2902" s="7"/>
      <c r="U2902" s="7"/>
      <c r="V2902" s="7"/>
      <c r="W2902" s="7"/>
      <c r="X2902" s="7"/>
      <c r="Y2902" s="7"/>
      <c r="Z2902" s="7"/>
      <c r="AA2902" s="7"/>
      <c r="AB2902" s="7"/>
      <c r="AC2902" s="7"/>
      <c r="AD2902" s="7"/>
      <c r="AE2902" s="7"/>
    </row>
    <row r="2903">
      <c r="A2903" s="7"/>
      <c r="B2903" s="21"/>
      <c r="C2903" s="21"/>
      <c r="D2903" s="21"/>
      <c r="E2903" s="21"/>
      <c r="F2903" s="21"/>
      <c r="G2903" s="21"/>
      <c r="H2903" s="21"/>
      <c r="I2903" s="21"/>
      <c r="J2903" s="21"/>
      <c r="K2903" s="21"/>
      <c r="L2903" s="21"/>
      <c r="M2903" s="7"/>
      <c r="N2903" s="7"/>
      <c r="O2903" s="7"/>
      <c r="P2903" s="7"/>
      <c r="Q2903" s="7"/>
      <c r="R2903" s="7"/>
      <c r="S2903" s="7"/>
      <c r="T2903" s="7"/>
      <c r="U2903" s="7"/>
      <c r="V2903" s="7"/>
      <c r="W2903" s="7"/>
      <c r="X2903" s="7"/>
      <c r="Y2903" s="7"/>
      <c r="Z2903" s="7"/>
      <c r="AA2903" s="7"/>
      <c r="AB2903" s="7"/>
      <c r="AC2903" s="7"/>
      <c r="AD2903" s="7"/>
      <c r="AE2903" s="7"/>
    </row>
    <row r="2904">
      <c r="A2904" s="7"/>
      <c r="B2904" s="21"/>
      <c r="C2904" s="21"/>
      <c r="D2904" s="21"/>
      <c r="E2904" s="21"/>
      <c r="F2904" s="21"/>
      <c r="G2904" s="21"/>
      <c r="H2904" s="21"/>
      <c r="I2904" s="21"/>
      <c r="J2904" s="21"/>
      <c r="K2904" s="21"/>
      <c r="L2904" s="21"/>
      <c r="M2904" s="7"/>
      <c r="N2904" s="7"/>
      <c r="O2904" s="7"/>
      <c r="P2904" s="7"/>
      <c r="Q2904" s="7"/>
      <c r="R2904" s="7"/>
      <c r="S2904" s="7"/>
      <c r="T2904" s="7"/>
      <c r="U2904" s="7"/>
      <c r="V2904" s="7"/>
      <c r="W2904" s="7"/>
      <c r="X2904" s="7"/>
      <c r="Y2904" s="7"/>
      <c r="Z2904" s="7"/>
      <c r="AA2904" s="7"/>
      <c r="AB2904" s="7"/>
      <c r="AC2904" s="7"/>
      <c r="AD2904" s="7"/>
      <c r="AE2904" s="7"/>
    </row>
    <row r="2905">
      <c r="A2905" s="7"/>
      <c r="B2905" s="21"/>
      <c r="C2905" s="21"/>
      <c r="D2905" s="21"/>
      <c r="E2905" s="21"/>
      <c r="F2905" s="21"/>
      <c r="G2905" s="21"/>
      <c r="H2905" s="21"/>
      <c r="I2905" s="21"/>
      <c r="J2905" s="21"/>
      <c r="K2905" s="21"/>
      <c r="L2905" s="21"/>
      <c r="M2905" s="7"/>
      <c r="N2905" s="7"/>
      <c r="O2905" s="7"/>
      <c r="P2905" s="7"/>
      <c r="Q2905" s="7"/>
      <c r="R2905" s="7"/>
      <c r="S2905" s="7"/>
      <c r="T2905" s="7"/>
      <c r="U2905" s="7"/>
      <c r="V2905" s="7"/>
      <c r="W2905" s="7"/>
      <c r="X2905" s="7"/>
      <c r="Y2905" s="7"/>
      <c r="Z2905" s="7"/>
      <c r="AA2905" s="7"/>
      <c r="AB2905" s="7"/>
      <c r="AC2905" s="7"/>
      <c r="AD2905" s="7"/>
      <c r="AE2905" s="7"/>
    </row>
    <row r="2906">
      <c r="A2906" s="7"/>
      <c r="B2906" s="21"/>
      <c r="C2906" s="21"/>
      <c r="D2906" s="21"/>
      <c r="E2906" s="21"/>
      <c r="F2906" s="21"/>
      <c r="G2906" s="21"/>
      <c r="H2906" s="21"/>
      <c r="I2906" s="21"/>
      <c r="J2906" s="21"/>
      <c r="K2906" s="21"/>
      <c r="L2906" s="21"/>
      <c r="M2906" s="7"/>
      <c r="N2906" s="7"/>
      <c r="O2906" s="7"/>
      <c r="P2906" s="7"/>
      <c r="Q2906" s="7"/>
      <c r="R2906" s="7"/>
      <c r="S2906" s="7"/>
      <c r="T2906" s="7"/>
      <c r="U2906" s="7"/>
      <c r="V2906" s="7"/>
      <c r="W2906" s="7"/>
      <c r="X2906" s="7"/>
      <c r="Y2906" s="7"/>
      <c r="Z2906" s="7"/>
      <c r="AA2906" s="7"/>
      <c r="AB2906" s="7"/>
      <c r="AC2906" s="7"/>
      <c r="AD2906" s="7"/>
      <c r="AE2906" s="7"/>
    </row>
    <row r="2907">
      <c r="A2907" s="7"/>
      <c r="B2907" s="21"/>
      <c r="C2907" s="21"/>
      <c r="D2907" s="21"/>
      <c r="E2907" s="21"/>
      <c r="F2907" s="21"/>
      <c r="G2907" s="21"/>
      <c r="H2907" s="21"/>
      <c r="I2907" s="21"/>
      <c r="J2907" s="21"/>
      <c r="K2907" s="21"/>
      <c r="L2907" s="21"/>
      <c r="M2907" s="7"/>
      <c r="N2907" s="7"/>
      <c r="O2907" s="7"/>
      <c r="P2907" s="7"/>
      <c r="Q2907" s="7"/>
      <c r="R2907" s="7"/>
      <c r="S2907" s="7"/>
      <c r="T2907" s="7"/>
      <c r="U2907" s="7"/>
      <c r="V2907" s="7"/>
      <c r="W2907" s="7"/>
      <c r="X2907" s="7"/>
      <c r="Y2907" s="7"/>
      <c r="Z2907" s="7"/>
      <c r="AA2907" s="7"/>
      <c r="AB2907" s="7"/>
      <c r="AC2907" s="7"/>
      <c r="AD2907" s="7"/>
      <c r="AE2907" s="7"/>
    </row>
    <row r="2908">
      <c r="A2908" s="7"/>
      <c r="B2908" s="21"/>
      <c r="C2908" s="21"/>
      <c r="D2908" s="21"/>
      <c r="E2908" s="21"/>
      <c r="F2908" s="21"/>
      <c r="G2908" s="21"/>
      <c r="H2908" s="21"/>
      <c r="I2908" s="21"/>
      <c r="J2908" s="21"/>
      <c r="K2908" s="21"/>
      <c r="L2908" s="21"/>
      <c r="M2908" s="7"/>
      <c r="N2908" s="7"/>
      <c r="O2908" s="7"/>
      <c r="P2908" s="7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7"/>
      <c r="AB2908" s="7"/>
      <c r="AC2908" s="7"/>
      <c r="AD2908" s="7"/>
      <c r="AE2908" s="7"/>
    </row>
    <row r="2909">
      <c r="A2909" s="7"/>
      <c r="B2909" s="21"/>
      <c r="C2909" s="21"/>
      <c r="D2909" s="21"/>
      <c r="E2909" s="21"/>
      <c r="F2909" s="21"/>
      <c r="G2909" s="21"/>
      <c r="H2909" s="21"/>
      <c r="I2909" s="21"/>
      <c r="J2909" s="21"/>
      <c r="K2909" s="21"/>
      <c r="L2909" s="21"/>
      <c r="M2909" s="7"/>
      <c r="N2909" s="7"/>
      <c r="O2909" s="7"/>
      <c r="P2909" s="7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7"/>
      <c r="AB2909" s="7"/>
      <c r="AC2909" s="7"/>
      <c r="AD2909" s="7"/>
      <c r="AE2909" s="7"/>
    </row>
    <row r="2910">
      <c r="A2910" s="7"/>
      <c r="B2910" s="21"/>
      <c r="C2910" s="21"/>
      <c r="D2910" s="21"/>
      <c r="E2910" s="21"/>
      <c r="F2910" s="21"/>
      <c r="G2910" s="21"/>
      <c r="H2910" s="21"/>
      <c r="I2910" s="21"/>
      <c r="J2910" s="21"/>
      <c r="K2910" s="21"/>
      <c r="L2910" s="21"/>
      <c r="M2910" s="7"/>
      <c r="N2910" s="7"/>
      <c r="O2910" s="7"/>
      <c r="P2910" s="7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7"/>
      <c r="AB2910" s="7"/>
      <c r="AC2910" s="7"/>
      <c r="AD2910" s="7"/>
      <c r="AE2910" s="7"/>
    </row>
    <row r="2911">
      <c r="A2911" s="7"/>
      <c r="B2911" s="21"/>
      <c r="C2911" s="21"/>
      <c r="D2911" s="21"/>
      <c r="E2911" s="21"/>
      <c r="F2911" s="21"/>
      <c r="G2911" s="21"/>
      <c r="H2911" s="21"/>
      <c r="I2911" s="21"/>
      <c r="J2911" s="21"/>
      <c r="K2911" s="21"/>
      <c r="L2911" s="21"/>
      <c r="M2911" s="7"/>
      <c r="N2911" s="7"/>
      <c r="O2911" s="7"/>
      <c r="P2911" s="7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7"/>
      <c r="AB2911" s="7"/>
      <c r="AC2911" s="7"/>
      <c r="AD2911" s="7"/>
      <c r="AE2911" s="7"/>
    </row>
    <row r="2912">
      <c r="A2912" s="7"/>
      <c r="B2912" s="21"/>
      <c r="C2912" s="21"/>
      <c r="D2912" s="21"/>
      <c r="E2912" s="21"/>
      <c r="F2912" s="21"/>
      <c r="G2912" s="21"/>
      <c r="H2912" s="21"/>
      <c r="I2912" s="21"/>
      <c r="J2912" s="21"/>
      <c r="K2912" s="21"/>
      <c r="L2912" s="21"/>
      <c r="M2912" s="7"/>
      <c r="N2912" s="7"/>
      <c r="O2912" s="7"/>
      <c r="P2912" s="7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7"/>
      <c r="AB2912" s="7"/>
      <c r="AC2912" s="7"/>
      <c r="AD2912" s="7"/>
      <c r="AE2912" s="7"/>
    </row>
    <row r="2913">
      <c r="A2913" s="7"/>
      <c r="B2913" s="21"/>
      <c r="C2913" s="21"/>
      <c r="D2913" s="21"/>
      <c r="E2913" s="21"/>
      <c r="F2913" s="21"/>
      <c r="G2913" s="21"/>
      <c r="H2913" s="21"/>
      <c r="I2913" s="21"/>
      <c r="J2913" s="21"/>
      <c r="K2913" s="21"/>
      <c r="L2913" s="21"/>
      <c r="M2913" s="7"/>
      <c r="N2913" s="7"/>
      <c r="O2913" s="7"/>
      <c r="P2913" s="7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7"/>
      <c r="AB2913" s="7"/>
      <c r="AC2913" s="7"/>
      <c r="AD2913" s="7"/>
      <c r="AE2913" s="7"/>
    </row>
    <row r="2914">
      <c r="A2914" s="7"/>
      <c r="B2914" s="21"/>
      <c r="C2914" s="21"/>
      <c r="D2914" s="21"/>
      <c r="E2914" s="21"/>
      <c r="F2914" s="21"/>
      <c r="G2914" s="21"/>
      <c r="H2914" s="21"/>
      <c r="I2914" s="21"/>
      <c r="J2914" s="21"/>
      <c r="K2914" s="21"/>
      <c r="L2914" s="21"/>
      <c r="M2914" s="7"/>
      <c r="N2914" s="7"/>
      <c r="O2914" s="7"/>
      <c r="P2914" s="7"/>
      <c r="Q2914" s="7"/>
      <c r="R2914" s="7"/>
      <c r="S2914" s="7"/>
      <c r="T2914" s="7"/>
      <c r="U2914" s="7"/>
      <c r="V2914" s="7"/>
      <c r="W2914" s="7"/>
      <c r="X2914" s="7"/>
      <c r="Y2914" s="7"/>
      <c r="Z2914" s="7"/>
      <c r="AA2914" s="7"/>
      <c r="AB2914" s="7"/>
      <c r="AC2914" s="7"/>
      <c r="AD2914" s="7"/>
      <c r="AE2914" s="7"/>
    </row>
    <row r="2915">
      <c r="A2915" s="7"/>
      <c r="B2915" s="21"/>
      <c r="C2915" s="21"/>
      <c r="D2915" s="21"/>
      <c r="E2915" s="21"/>
      <c r="F2915" s="21"/>
      <c r="G2915" s="21"/>
      <c r="H2915" s="21"/>
      <c r="I2915" s="21"/>
      <c r="J2915" s="21"/>
      <c r="K2915" s="21"/>
      <c r="L2915" s="21"/>
      <c r="M2915" s="7"/>
      <c r="N2915" s="7"/>
      <c r="O2915" s="7"/>
      <c r="P2915" s="7"/>
      <c r="Q2915" s="7"/>
      <c r="R2915" s="7"/>
      <c r="S2915" s="7"/>
      <c r="T2915" s="7"/>
      <c r="U2915" s="7"/>
      <c r="V2915" s="7"/>
      <c r="W2915" s="7"/>
      <c r="X2915" s="7"/>
      <c r="Y2915" s="7"/>
      <c r="Z2915" s="7"/>
      <c r="AA2915" s="7"/>
      <c r="AB2915" s="7"/>
      <c r="AC2915" s="7"/>
      <c r="AD2915" s="7"/>
      <c r="AE2915" s="7"/>
    </row>
    <row r="2916">
      <c r="A2916" s="7"/>
      <c r="B2916" s="21"/>
      <c r="C2916" s="21"/>
      <c r="D2916" s="21"/>
      <c r="E2916" s="21"/>
      <c r="F2916" s="21"/>
      <c r="G2916" s="21"/>
      <c r="H2916" s="21"/>
      <c r="I2916" s="21"/>
      <c r="J2916" s="21"/>
      <c r="K2916" s="21"/>
      <c r="L2916" s="21"/>
      <c r="M2916" s="7"/>
      <c r="N2916" s="7"/>
      <c r="O2916" s="7"/>
      <c r="P2916" s="7"/>
      <c r="Q2916" s="7"/>
      <c r="R2916" s="7"/>
      <c r="S2916" s="7"/>
      <c r="T2916" s="7"/>
      <c r="U2916" s="7"/>
      <c r="V2916" s="7"/>
      <c r="W2916" s="7"/>
      <c r="X2916" s="7"/>
      <c r="Y2916" s="7"/>
      <c r="Z2916" s="7"/>
      <c r="AA2916" s="7"/>
      <c r="AB2916" s="7"/>
      <c r="AC2916" s="7"/>
      <c r="AD2916" s="7"/>
      <c r="AE2916" s="7"/>
    </row>
    <row r="2917">
      <c r="A2917" s="7"/>
      <c r="B2917" s="21"/>
      <c r="C2917" s="21"/>
      <c r="D2917" s="21"/>
      <c r="E2917" s="21"/>
      <c r="F2917" s="21"/>
      <c r="G2917" s="21"/>
      <c r="H2917" s="21"/>
      <c r="I2917" s="21"/>
      <c r="J2917" s="21"/>
      <c r="K2917" s="21"/>
      <c r="L2917" s="21"/>
      <c r="M2917" s="7"/>
      <c r="N2917" s="7"/>
      <c r="O2917" s="7"/>
      <c r="P2917" s="7"/>
      <c r="Q2917" s="7"/>
      <c r="R2917" s="7"/>
      <c r="S2917" s="7"/>
      <c r="T2917" s="7"/>
      <c r="U2917" s="7"/>
      <c r="V2917" s="7"/>
      <c r="W2917" s="7"/>
      <c r="X2917" s="7"/>
      <c r="Y2917" s="7"/>
      <c r="Z2917" s="7"/>
      <c r="AA2917" s="7"/>
      <c r="AB2917" s="7"/>
      <c r="AC2917" s="7"/>
      <c r="AD2917" s="7"/>
      <c r="AE2917" s="7"/>
    </row>
    <row r="2918">
      <c r="A2918" s="7"/>
      <c r="B2918" s="21"/>
      <c r="C2918" s="21"/>
      <c r="D2918" s="21"/>
      <c r="E2918" s="21"/>
      <c r="F2918" s="21"/>
      <c r="G2918" s="21"/>
      <c r="H2918" s="21"/>
      <c r="I2918" s="21"/>
      <c r="J2918" s="21"/>
      <c r="K2918" s="21"/>
      <c r="L2918" s="21"/>
      <c r="M2918" s="7"/>
      <c r="N2918" s="7"/>
      <c r="O2918" s="7"/>
      <c r="P2918" s="7"/>
      <c r="Q2918" s="7"/>
      <c r="R2918" s="7"/>
      <c r="S2918" s="7"/>
      <c r="T2918" s="7"/>
      <c r="U2918" s="7"/>
      <c r="V2918" s="7"/>
      <c r="W2918" s="7"/>
      <c r="X2918" s="7"/>
      <c r="Y2918" s="7"/>
      <c r="Z2918" s="7"/>
      <c r="AA2918" s="7"/>
      <c r="AB2918" s="7"/>
      <c r="AC2918" s="7"/>
      <c r="AD2918" s="7"/>
      <c r="AE2918" s="7"/>
    </row>
    <row r="2919">
      <c r="A2919" s="7"/>
      <c r="B2919" s="21"/>
      <c r="C2919" s="21"/>
      <c r="D2919" s="21"/>
      <c r="E2919" s="21"/>
      <c r="F2919" s="21"/>
      <c r="G2919" s="21"/>
      <c r="H2919" s="21"/>
      <c r="I2919" s="21"/>
      <c r="J2919" s="21"/>
      <c r="K2919" s="21"/>
      <c r="L2919" s="21"/>
      <c r="M2919" s="7"/>
      <c r="N2919" s="7"/>
      <c r="O2919" s="7"/>
      <c r="P2919" s="7"/>
      <c r="Q2919" s="7"/>
      <c r="R2919" s="7"/>
      <c r="S2919" s="7"/>
      <c r="T2919" s="7"/>
      <c r="U2919" s="7"/>
      <c r="V2919" s="7"/>
      <c r="W2919" s="7"/>
      <c r="X2919" s="7"/>
      <c r="Y2919" s="7"/>
      <c r="Z2919" s="7"/>
      <c r="AA2919" s="7"/>
      <c r="AB2919" s="7"/>
      <c r="AC2919" s="7"/>
      <c r="AD2919" s="7"/>
      <c r="AE2919" s="7"/>
    </row>
    <row r="2920">
      <c r="A2920" s="7"/>
      <c r="B2920" s="21"/>
      <c r="C2920" s="21"/>
      <c r="D2920" s="21"/>
      <c r="E2920" s="21"/>
      <c r="F2920" s="21"/>
      <c r="G2920" s="21"/>
      <c r="H2920" s="21"/>
      <c r="I2920" s="21"/>
      <c r="J2920" s="21"/>
      <c r="K2920" s="21"/>
      <c r="L2920" s="21"/>
      <c r="M2920" s="7"/>
      <c r="N2920" s="7"/>
      <c r="O2920" s="7"/>
      <c r="P2920" s="7"/>
      <c r="Q2920" s="7"/>
      <c r="R2920" s="7"/>
      <c r="S2920" s="7"/>
      <c r="T2920" s="7"/>
      <c r="U2920" s="7"/>
      <c r="V2920" s="7"/>
      <c r="W2920" s="7"/>
      <c r="X2920" s="7"/>
      <c r="Y2920" s="7"/>
      <c r="Z2920" s="7"/>
      <c r="AA2920" s="7"/>
      <c r="AB2920" s="7"/>
      <c r="AC2920" s="7"/>
      <c r="AD2920" s="7"/>
      <c r="AE2920" s="7"/>
    </row>
    <row r="2921">
      <c r="A2921" s="7"/>
      <c r="B2921" s="21"/>
      <c r="C2921" s="21"/>
      <c r="D2921" s="21"/>
      <c r="E2921" s="21"/>
      <c r="F2921" s="21"/>
      <c r="G2921" s="21"/>
      <c r="H2921" s="21"/>
      <c r="I2921" s="21"/>
      <c r="J2921" s="21"/>
      <c r="K2921" s="21"/>
      <c r="L2921" s="21"/>
      <c r="M2921" s="7"/>
      <c r="N2921" s="7"/>
      <c r="O2921" s="7"/>
      <c r="P2921" s="7"/>
      <c r="Q2921" s="7"/>
      <c r="R2921" s="7"/>
      <c r="S2921" s="7"/>
      <c r="T2921" s="7"/>
      <c r="U2921" s="7"/>
      <c r="V2921" s="7"/>
      <c r="W2921" s="7"/>
      <c r="X2921" s="7"/>
      <c r="Y2921" s="7"/>
      <c r="Z2921" s="7"/>
      <c r="AA2921" s="7"/>
      <c r="AB2921" s="7"/>
      <c r="AC2921" s="7"/>
      <c r="AD2921" s="7"/>
      <c r="AE2921" s="7"/>
    </row>
    <row r="2922">
      <c r="A2922" s="7"/>
      <c r="B2922" s="21"/>
      <c r="C2922" s="21"/>
      <c r="D2922" s="21"/>
      <c r="E2922" s="21"/>
      <c r="F2922" s="21"/>
      <c r="G2922" s="21"/>
      <c r="H2922" s="21"/>
      <c r="I2922" s="21"/>
      <c r="J2922" s="21"/>
      <c r="K2922" s="21"/>
      <c r="L2922" s="21"/>
      <c r="M2922" s="7"/>
      <c r="N2922" s="7"/>
      <c r="O2922" s="7"/>
      <c r="P2922" s="7"/>
      <c r="Q2922" s="7"/>
      <c r="R2922" s="7"/>
      <c r="S2922" s="7"/>
      <c r="T2922" s="7"/>
      <c r="U2922" s="7"/>
      <c r="V2922" s="7"/>
      <c r="W2922" s="7"/>
      <c r="X2922" s="7"/>
      <c r="Y2922" s="7"/>
      <c r="Z2922" s="7"/>
      <c r="AA2922" s="7"/>
      <c r="AB2922" s="7"/>
      <c r="AC2922" s="7"/>
      <c r="AD2922" s="7"/>
      <c r="AE2922" s="7"/>
    </row>
    <row r="2923">
      <c r="A2923" s="7"/>
      <c r="B2923" s="21"/>
      <c r="C2923" s="21"/>
      <c r="D2923" s="21"/>
      <c r="E2923" s="21"/>
      <c r="F2923" s="21"/>
      <c r="G2923" s="21"/>
      <c r="H2923" s="21"/>
      <c r="I2923" s="21"/>
      <c r="J2923" s="21"/>
      <c r="K2923" s="21"/>
      <c r="L2923" s="21"/>
      <c r="M2923" s="7"/>
      <c r="N2923" s="7"/>
      <c r="O2923" s="7"/>
      <c r="P2923" s="7"/>
      <c r="Q2923" s="7"/>
      <c r="R2923" s="7"/>
      <c r="S2923" s="7"/>
      <c r="T2923" s="7"/>
      <c r="U2923" s="7"/>
      <c r="V2923" s="7"/>
      <c r="W2923" s="7"/>
      <c r="X2923" s="7"/>
      <c r="Y2923" s="7"/>
      <c r="Z2923" s="7"/>
      <c r="AA2923" s="7"/>
      <c r="AB2923" s="7"/>
      <c r="AC2923" s="7"/>
      <c r="AD2923" s="7"/>
      <c r="AE2923" s="7"/>
    </row>
    <row r="2924">
      <c r="A2924" s="7"/>
      <c r="B2924" s="21"/>
      <c r="C2924" s="21"/>
      <c r="D2924" s="21"/>
      <c r="E2924" s="21"/>
      <c r="F2924" s="21"/>
      <c r="G2924" s="21"/>
      <c r="H2924" s="21"/>
      <c r="I2924" s="21"/>
      <c r="J2924" s="21"/>
      <c r="K2924" s="21"/>
      <c r="L2924" s="21"/>
      <c r="M2924" s="7"/>
      <c r="N2924" s="7"/>
      <c r="O2924" s="7"/>
      <c r="P2924" s="7"/>
      <c r="Q2924" s="7"/>
      <c r="R2924" s="7"/>
      <c r="S2924" s="7"/>
      <c r="T2924" s="7"/>
      <c r="U2924" s="7"/>
      <c r="V2924" s="7"/>
      <c r="W2924" s="7"/>
      <c r="X2924" s="7"/>
      <c r="Y2924" s="7"/>
      <c r="Z2924" s="7"/>
      <c r="AA2924" s="7"/>
      <c r="AB2924" s="7"/>
      <c r="AC2924" s="7"/>
      <c r="AD2924" s="7"/>
      <c r="AE2924" s="7"/>
    </row>
    <row r="2925">
      <c r="A2925" s="7"/>
      <c r="B2925" s="21"/>
      <c r="C2925" s="21"/>
      <c r="D2925" s="21"/>
      <c r="E2925" s="21"/>
      <c r="F2925" s="21"/>
      <c r="G2925" s="21"/>
      <c r="H2925" s="21"/>
      <c r="I2925" s="21"/>
      <c r="J2925" s="21"/>
      <c r="K2925" s="21"/>
      <c r="L2925" s="21"/>
      <c r="M2925" s="7"/>
      <c r="N2925" s="7"/>
      <c r="O2925" s="7"/>
      <c r="P2925" s="7"/>
      <c r="Q2925" s="7"/>
      <c r="R2925" s="7"/>
      <c r="S2925" s="7"/>
      <c r="T2925" s="7"/>
      <c r="U2925" s="7"/>
      <c r="V2925" s="7"/>
      <c r="W2925" s="7"/>
      <c r="X2925" s="7"/>
      <c r="Y2925" s="7"/>
      <c r="Z2925" s="7"/>
      <c r="AA2925" s="7"/>
      <c r="AB2925" s="7"/>
      <c r="AC2925" s="7"/>
      <c r="AD2925" s="7"/>
      <c r="AE2925" s="7"/>
    </row>
    <row r="2926">
      <c r="A2926" s="7"/>
      <c r="B2926" s="21"/>
      <c r="C2926" s="21"/>
      <c r="D2926" s="21"/>
      <c r="E2926" s="21"/>
      <c r="F2926" s="21"/>
      <c r="G2926" s="21"/>
      <c r="H2926" s="21"/>
      <c r="I2926" s="21"/>
      <c r="J2926" s="21"/>
      <c r="K2926" s="21"/>
      <c r="L2926" s="21"/>
      <c r="M2926" s="7"/>
      <c r="N2926" s="7"/>
      <c r="O2926" s="7"/>
      <c r="P2926" s="7"/>
      <c r="Q2926" s="7"/>
      <c r="R2926" s="7"/>
      <c r="S2926" s="7"/>
      <c r="T2926" s="7"/>
      <c r="U2926" s="7"/>
      <c r="V2926" s="7"/>
      <c r="W2926" s="7"/>
      <c r="X2926" s="7"/>
      <c r="Y2926" s="7"/>
      <c r="Z2926" s="7"/>
      <c r="AA2926" s="7"/>
      <c r="AB2926" s="7"/>
      <c r="AC2926" s="7"/>
      <c r="AD2926" s="7"/>
      <c r="AE2926" s="7"/>
    </row>
    <row r="2927">
      <c r="A2927" s="7"/>
      <c r="B2927" s="21"/>
      <c r="C2927" s="21"/>
      <c r="D2927" s="21"/>
      <c r="E2927" s="21"/>
      <c r="F2927" s="21"/>
      <c r="G2927" s="21"/>
      <c r="H2927" s="21"/>
      <c r="I2927" s="21"/>
      <c r="J2927" s="21"/>
      <c r="K2927" s="21"/>
      <c r="L2927" s="21"/>
      <c r="M2927" s="7"/>
      <c r="N2927" s="7"/>
      <c r="O2927" s="7"/>
      <c r="P2927" s="7"/>
      <c r="Q2927" s="7"/>
      <c r="R2927" s="7"/>
      <c r="S2927" s="7"/>
      <c r="T2927" s="7"/>
      <c r="U2927" s="7"/>
      <c r="V2927" s="7"/>
      <c r="W2927" s="7"/>
      <c r="X2927" s="7"/>
      <c r="Y2927" s="7"/>
      <c r="Z2927" s="7"/>
      <c r="AA2927" s="7"/>
      <c r="AB2927" s="7"/>
      <c r="AC2927" s="7"/>
      <c r="AD2927" s="7"/>
      <c r="AE2927" s="7"/>
    </row>
    <row r="2928">
      <c r="A2928" s="7"/>
      <c r="B2928" s="21"/>
      <c r="C2928" s="21"/>
      <c r="D2928" s="21"/>
      <c r="E2928" s="21"/>
      <c r="F2928" s="21"/>
      <c r="G2928" s="21"/>
      <c r="H2928" s="21"/>
      <c r="I2928" s="21"/>
      <c r="J2928" s="21"/>
      <c r="K2928" s="21"/>
      <c r="L2928" s="21"/>
      <c r="M2928" s="7"/>
      <c r="N2928" s="7"/>
      <c r="O2928" s="7"/>
      <c r="P2928" s="7"/>
      <c r="Q2928" s="7"/>
      <c r="R2928" s="7"/>
      <c r="S2928" s="7"/>
      <c r="T2928" s="7"/>
      <c r="U2928" s="7"/>
      <c r="V2928" s="7"/>
      <c r="W2928" s="7"/>
      <c r="X2928" s="7"/>
      <c r="Y2928" s="7"/>
      <c r="Z2928" s="7"/>
      <c r="AA2928" s="7"/>
      <c r="AB2928" s="7"/>
      <c r="AC2928" s="7"/>
      <c r="AD2928" s="7"/>
      <c r="AE2928" s="7"/>
    </row>
    <row r="2929">
      <c r="A2929" s="7"/>
      <c r="B2929" s="21"/>
      <c r="C2929" s="21"/>
      <c r="D2929" s="21"/>
      <c r="E2929" s="21"/>
      <c r="F2929" s="21"/>
      <c r="G2929" s="21"/>
      <c r="H2929" s="21"/>
      <c r="I2929" s="21"/>
      <c r="J2929" s="21"/>
      <c r="K2929" s="21"/>
      <c r="L2929" s="21"/>
      <c r="M2929" s="7"/>
      <c r="N2929" s="7"/>
      <c r="O2929" s="7"/>
      <c r="P2929" s="7"/>
      <c r="Q2929" s="7"/>
      <c r="R2929" s="7"/>
      <c r="S2929" s="7"/>
      <c r="T2929" s="7"/>
      <c r="U2929" s="7"/>
      <c r="V2929" s="7"/>
      <c r="W2929" s="7"/>
      <c r="X2929" s="7"/>
      <c r="Y2929" s="7"/>
      <c r="Z2929" s="7"/>
      <c r="AA2929" s="7"/>
      <c r="AB2929" s="7"/>
      <c r="AC2929" s="7"/>
      <c r="AD2929" s="7"/>
      <c r="AE2929" s="7"/>
    </row>
    <row r="2930">
      <c r="A2930" s="7"/>
      <c r="B2930" s="21"/>
      <c r="C2930" s="21"/>
      <c r="D2930" s="21"/>
      <c r="E2930" s="21"/>
      <c r="F2930" s="21"/>
      <c r="G2930" s="21"/>
      <c r="H2930" s="21"/>
      <c r="I2930" s="21"/>
      <c r="J2930" s="21"/>
      <c r="K2930" s="21"/>
      <c r="L2930" s="21"/>
      <c r="M2930" s="7"/>
      <c r="N2930" s="7"/>
      <c r="O2930" s="7"/>
      <c r="P2930" s="7"/>
      <c r="Q2930" s="7"/>
      <c r="R2930" s="7"/>
      <c r="S2930" s="7"/>
      <c r="T2930" s="7"/>
      <c r="U2930" s="7"/>
      <c r="V2930" s="7"/>
      <c r="W2930" s="7"/>
      <c r="X2930" s="7"/>
      <c r="Y2930" s="7"/>
      <c r="Z2930" s="7"/>
      <c r="AA2930" s="7"/>
      <c r="AB2930" s="7"/>
      <c r="AC2930" s="7"/>
      <c r="AD2930" s="7"/>
      <c r="AE2930" s="7"/>
    </row>
    <row r="2931">
      <c r="A2931" s="7"/>
      <c r="B2931" s="21"/>
      <c r="C2931" s="21"/>
      <c r="D2931" s="21"/>
      <c r="E2931" s="21"/>
      <c r="F2931" s="21"/>
      <c r="G2931" s="21"/>
      <c r="H2931" s="21"/>
      <c r="I2931" s="21"/>
      <c r="J2931" s="21"/>
      <c r="K2931" s="21"/>
      <c r="L2931" s="21"/>
      <c r="M2931" s="7"/>
      <c r="N2931" s="7"/>
      <c r="O2931" s="7"/>
      <c r="P2931" s="7"/>
      <c r="Q2931" s="7"/>
      <c r="R2931" s="7"/>
      <c r="S2931" s="7"/>
      <c r="T2931" s="7"/>
      <c r="U2931" s="7"/>
      <c r="V2931" s="7"/>
      <c r="W2931" s="7"/>
      <c r="X2931" s="7"/>
      <c r="Y2931" s="7"/>
      <c r="Z2931" s="7"/>
      <c r="AA2931" s="7"/>
      <c r="AB2931" s="7"/>
      <c r="AC2931" s="7"/>
      <c r="AD2931" s="7"/>
      <c r="AE2931" s="7"/>
    </row>
    <row r="2932">
      <c r="A2932" s="7"/>
      <c r="B2932" s="21"/>
      <c r="C2932" s="21"/>
      <c r="D2932" s="21"/>
      <c r="E2932" s="21"/>
      <c r="F2932" s="21"/>
      <c r="G2932" s="21"/>
      <c r="H2932" s="21"/>
      <c r="I2932" s="21"/>
      <c r="J2932" s="21"/>
      <c r="K2932" s="21"/>
      <c r="L2932" s="21"/>
      <c r="M2932" s="7"/>
      <c r="N2932" s="7"/>
      <c r="O2932" s="7"/>
      <c r="P2932" s="7"/>
      <c r="Q2932" s="7"/>
      <c r="R2932" s="7"/>
      <c r="S2932" s="7"/>
      <c r="T2932" s="7"/>
      <c r="U2932" s="7"/>
      <c r="V2932" s="7"/>
      <c r="W2932" s="7"/>
      <c r="X2932" s="7"/>
      <c r="Y2932" s="7"/>
      <c r="Z2932" s="7"/>
      <c r="AA2932" s="7"/>
      <c r="AB2932" s="7"/>
      <c r="AC2932" s="7"/>
      <c r="AD2932" s="7"/>
      <c r="AE2932" s="7"/>
    </row>
    <row r="2933">
      <c r="A2933" s="7"/>
      <c r="B2933" s="21"/>
      <c r="C2933" s="21"/>
      <c r="D2933" s="21"/>
      <c r="E2933" s="21"/>
      <c r="F2933" s="21"/>
      <c r="G2933" s="21"/>
      <c r="H2933" s="21"/>
      <c r="I2933" s="21"/>
      <c r="J2933" s="21"/>
      <c r="K2933" s="21"/>
      <c r="L2933" s="21"/>
      <c r="M2933" s="7"/>
      <c r="N2933" s="7"/>
      <c r="O2933" s="7"/>
      <c r="P2933" s="7"/>
      <c r="Q2933" s="7"/>
      <c r="R2933" s="7"/>
      <c r="S2933" s="7"/>
      <c r="T2933" s="7"/>
      <c r="U2933" s="7"/>
      <c r="V2933" s="7"/>
      <c r="W2933" s="7"/>
      <c r="X2933" s="7"/>
      <c r="Y2933" s="7"/>
      <c r="Z2933" s="7"/>
      <c r="AA2933" s="7"/>
      <c r="AB2933" s="7"/>
      <c r="AC2933" s="7"/>
      <c r="AD2933" s="7"/>
      <c r="AE2933" s="7"/>
    </row>
    <row r="2934">
      <c r="A2934" s="7"/>
      <c r="B2934" s="21"/>
      <c r="C2934" s="21"/>
      <c r="D2934" s="21"/>
      <c r="E2934" s="21"/>
      <c r="F2934" s="21"/>
      <c r="G2934" s="21"/>
      <c r="H2934" s="21"/>
      <c r="I2934" s="21"/>
      <c r="J2934" s="21"/>
      <c r="K2934" s="21"/>
      <c r="L2934" s="21"/>
      <c r="M2934" s="7"/>
      <c r="N2934" s="7"/>
      <c r="O2934" s="7"/>
      <c r="P2934" s="7"/>
      <c r="Q2934" s="7"/>
      <c r="R2934" s="7"/>
      <c r="S2934" s="7"/>
      <c r="T2934" s="7"/>
      <c r="U2934" s="7"/>
      <c r="V2934" s="7"/>
      <c r="W2934" s="7"/>
      <c r="X2934" s="7"/>
      <c r="Y2934" s="7"/>
      <c r="Z2934" s="7"/>
      <c r="AA2934" s="7"/>
      <c r="AB2934" s="7"/>
      <c r="AC2934" s="7"/>
      <c r="AD2934" s="7"/>
      <c r="AE2934" s="7"/>
    </row>
    <row r="2935">
      <c r="A2935" s="7"/>
      <c r="B2935" s="21"/>
      <c r="C2935" s="21"/>
      <c r="D2935" s="21"/>
      <c r="E2935" s="21"/>
      <c r="F2935" s="21"/>
      <c r="G2935" s="21"/>
      <c r="H2935" s="21"/>
      <c r="I2935" s="21"/>
      <c r="J2935" s="21"/>
      <c r="K2935" s="21"/>
      <c r="L2935" s="21"/>
      <c r="M2935" s="7"/>
      <c r="N2935" s="7"/>
      <c r="O2935" s="7"/>
      <c r="P2935" s="7"/>
      <c r="Q2935" s="7"/>
      <c r="R2935" s="7"/>
      <c r="S2935" s="7"/>
      <c r="T2935" s="7"/>
      <c r="U2935" s="7"/>
      <c r="V2935" s="7"/>
      <c r="W2935" s="7"/>
      <c r="X2935" s="7"/>
      <c r="Y2935" s="7"/>
      <c r="Z2935" s="7"/>
      <c r="AA2935" s="7"/>
      <c r="AB2935" s="7"/>
      <c r="AC2935" s="7"/>
      <c r="AD2935" s="7"/>
      <c r="AE2935" s="7"/>
    </row>
    <row r="2936">
      <c r="A2936" s="7"/>
      <c r="B2936" s="21"/>
      <c r="C2936" s="21"/>
      <c r="D2936" s="21"/>
      <c r="E2936" s="21"/>
      <c r="F2936" s="21"/>
      <c r="G2936" s="21"/>
      <c r="H2936" s="21"/>
      <c r="I2936" s="21"/>
      <c r="J2936" s="21"/>
      <c r="K2936" s="21"/>
      <c r="L2936" s="21"/>
      <c r="M2936" s="7"/>
      <c r="N2936" s="7"/>
      <c r="O2936" s="7"/>
      <c r="P2936" s="7"/>
      <c r="Q2936" s="7"/>
      <c r="R2936" s="7"/>
      <c r="S2936" s="7"/>
      <c r="T2936" s="7"/>
      <c r="U2936" s="7"/>
      <c r="V2936" s="7"/>
      <c r="W2936" s="7"/>
      <c r="X2936" s="7"/>
      <c r="Y2936" s="7"/>
      <c r="Z2936" s="7"/>
      <c r="AA2936" s="7"/>
      <c r="AB2936" s="7"/>
      <c r="AC2936" s="7"/>
      <c r="AD2936" s="7"/>
      <c r="AE2936" s="7"/>
    </row>
    <row r="2937">
      <c r="A2937" s="7"/>
      <c r="B2937" s="21"/>
      <c r="C2937" s="21"/>
      <c r="D2937" s="21"/>
      <c r="E2937" s="21"/>
      <c r="F2937" s="21"/>
      <c r="G2937" s="21"/>
      <c r="H2937" s="21"/>
      <c r="I2937" s="21"/>
      <c r="J2937" s="21"/>
      <c r="K2937" s="21"/>
      <c r="L2937" s="21"/>
      <c r="M2937" s="7"/>
      <c r="N2937" s="7"/>
      <c r="O2937" s="7"/>
      <c r="P2937" s="7"/>
      <c r="Q2937" s="7"/>
      <c r="R2937" s="7"/>
      <c r="S2937" s="7"/>
      <c r="T2937" s="7"/>
      <c r="U2937" s="7"/>
      <c r="V2937" s="7"/>
      <c r="W2937" s="7"/>
      <c r="X2937" s="7"/>
      <c r="Y2937" s="7"/>
      <c r="Z2937" s="7"/>
      <c r="AA2937" s="7"/>
      <c r="AB2937" s="7"/>
      <c r="AC2937" s="7"/>
      <c r="AD2937" s="7"/>
      <c r="AE2937" s="7"/>
    </row>
    <row r="2938">
      <c r="A2938" s="7"/>
      <c r="B2938" s="21"/>
      <c r="C2938" s="21"/>
      <c r="D2938" s="21"/>
      <c r="E2938" s="21"/>
      <c r="F2938" s="21"/>
      <c r="G2938" s="21"/>
      <c r="H2938" s="21"/>
      <c r="I2938" s="21"/>
      <c r="J2938" s="21"/>
      <c r="K2938" s="21"/>
      <c r="L2938" s="21"/>
      <c r="M2938" s="7"/>
      <c r="N2938" s="7"/>
      <c r="O2938" s="7"/>
      <c r="P2938" s="7"/>
      <c r="Q2938" s="7"/>
      <c r="R2938" s="7"/>
      <c r="S2938" s="7"/>
      <c r="T2938" s="7"/>
      <c r="U2938" s="7"/>
      <c r="V2938" s="7"/>
      <c r="W2938" s="7"/>
      <c r="X2938" s="7"/>
      <c r="Y2938" s="7"/>
      <c r="Z2938" s="7"/>
      <c r="AA2938" s="7"/>
      <c r="AB2938" s="7"/>
      <c r="AC2938" s="7"/>
      <c r="AD2938" s="7"/>
      <c r="AE2938" s="7"/>
    </row>
    <row r="2939">
      <c r="A2939" s="7"/>
      <c r="B2939" s="21"/>
      <c r="C2939" s="21"/>
      <c r="D2939" s="21"/>
      <c r="E2939" s="21"/>
      <c r="F2939" s="21"/>
      <c r="G2939" s="21"/>
      <c r="H2939" s="21"/>
      <c r="I2939" s="21"/>
      <c r="J2939" s="21"/>
      <c r="K2939" s="21"/>
      <c r="L2939" s="21"/>
      <c r="M2939" s="7"/>
      <c r="N2939" s="7"/>
      <c r="O2939" s="7"/>
      <c r="P2939" s="7"/>
      <c r="Q2939" s="7"/>
      <c r="R2939" s="7"/>
      <c r="S2939" s="7"/>
      <c r="T2939" s="7"/>
      <c r="U2939" s="7"/>
      <c r="V2939" s="7"/>
      <c r="W2939" s="7"/>
      <c r="X2939" s="7"/>
      <c r="Y2939" s="7"/>
      <c r="Z2939" s="7"/>
      <c r="AA2939" s="7"/>
      <c r="AB2939" s="7"/>
      <c r="AC2939" s="7"/>
      <c r="AD2939" s="7"/>
      <c r="AE2939" s="7"/>
    </row>
    <row r="2940">
      <c r="A2940" s="7"/>
      <c r="B2940" s="21"/>
      <c r="C2940" s="21"/>
      <c r="D2940" s="21"/>
      <c r="E2940" s="21"/>
      <c r="F2940" s="21"/>
      <c r="G2940" s="21"/>
      <c r="H2940" s="21"/>
      <c r="I2940" s="21"/>
      <c r="J2940" s="21"/>
      <c r="K2940" s="21"/>
      <c r="L2940" s="21"/>
      <c r="M2940" s="7"/>
      <c r="N2940" s="7"/>
      <c r="O2940" s="7"/>
      <c r="P2940" s="7"/>
      <c r="Q2940" s="7"/>
      <c r="R2940" s="7"/>
      <c r="S2940" s="7"/>
      <c r="T2940" s="7"/>
      <c r="U2940" s="7"/>
      <c r="V2940" s="7"/>
      <c r="W2940" s="7"/>
      <c r="X2940" s="7"/>
      <c r="Y2940" s="7"/>
      <c r="Z2940" s="7"/>
      <c r="AA2940" s="7"/>
      <c r="AB2940" s="7"/>
      <c r="AC2940" s="7"/>
      <c r="AD2940" s="7"/>
      <c r="AE2940" s="7"/>
    </row>
    <row r="2941">
      <c r="A2941" s="7"/>
      <c r="B2941" s="21"/>
      <c r="C2941" s="21"/>
      <c r="D2941" s="21"/>
      <c r="E2941" s="21"/>
      <c r="F2941" s="21"/>
      <c r="G2941" s="21"/>
      <c r="H2941" s="21"/>
      <c r="I2941" s="21"/>
      <c r="J2941" s="21"/>
      <c r="K2941" s="21"/>
      <c r="L2941" s="21"/>
      <c r="M2941" s="7"/>
      <c r="N2941" s="7"/>
      <c r="O2941" s="7"/>
      <c r="P2941" s="7"/>
      <c r="Q2941" s="7"/>
      <c r="R2941" s="7"/>
      <c r="S2941" s="7"/>
      <c r="T2941" s="7"/>
      <c r="U2941" s="7"/>
      <c r="V2941" s="7"/>
      <c r="W2941" s="7"/>
      <c r="X2941" s="7"/>
      <c r="Y2941" s="7"/>
      <c r="Z2941" s="7"/>
      <c r="AA2941" s="7"/>
      <c r="AB2941" s="7"/>
      <c r="AC2941" s="7"/>
      <c r="AD2941" s="7"/>
      <c r="AE2941" s="7"/>
    </row>
    <row r="2942">
      <c r="A2942" s="7"/>
      <c r="B2942" s="21"/>
      <c r="C2942" s="21"/>
      <c r="D2942" s="21"/>
      <c r="E2942" s="21"/>
      <c r="F2942" s="21"/>
      <c r="G2942" s="21"/>
      <c r="H2942" s="21"/>
      <c r="I2942" s="21"/>
      <c r="J2942" s="21"/>
      <c r="K2942" s="21"/>
      <c r="L2942" s="21"/>
      <c r="M2942" s="7"/>
      <c r="N2942" s="7"/>
      <c r="O2942" s="7"/>
      <c r="P2942" s="7"/>
      <c r="Q2942" s="7"/>
      <c r="R2942" s="7"/>
      <c r="S2942" s="7"/>
      <c r="T2942" s="7"/>
      <c r="U2942" s="7"/>
      <c r="V2942" s="7"/>
      <c r="W2942" s="7"/>
      <c r="X2942" s="7"/>
      <c r="Y2942" s="7"/>
      <c r="Z2942" s="7"/>
      <c r="AA2942" s="7"/>
      <c r="AB2942" s="7"/>
      <c r="AC2942" s="7"/>
      <c r="AD2942" s="7"/>
      <c r="AE2942" s="7"/>
    </row>
    <row r="2943">
      <c r="A2943" s="7"/>
      <c r="B2943" s="21"/>
      <c r="C2943" s="21"/>
      <c r="D2943" s="21"/>
      <c r="E2943" s="21"/>
      <c r="F2943" s="21"/>
      <c r="G2943" s="21"/>
      <c r="H2943" s="21"/>
      <c r="I2943" s="21"/>
      <c r="J2943" s="21"/>
      <c r="K2943" s="21"/>
      <c r="L2943" s="21"/>
      <c r="M2943" s="7"/>
      <c r="N2943" s="7"/>
      <c r="O2943" s="7"/>
      <c r="P2943" s="7"/>
      <c r="Q2943" s="7"/>
      <c r="R2943" s="7"/>
      <c r="S2943" s="7"/>
      <c r="T2943" s="7"/>
      <c r="U2943" s="7"/>
      <c r="V2943" s="7"/>
      <c r="W2943" s="7"/>
      <c r="X2943" s="7"/>
      <c r="Y2943" s="7"/>
      <c r="Z2943" s="7"/>
      <c r="AA2943" s="7"/>
      <c r="AB2943" s="7"/>
      <c r="AC2943" s="7"/>
      <c r="AD2943" s="7"/>
      <c r="AE2943" s="7"/>
    </row>
    <row r="2944">
      <c r="A2944" s="7"/>
      <c r="B2944" s="21"/>
      <c r="C2944" s="21"/>
      <c r="D2944" s="21"/>
      <c r="E2944" s="21"/>
      <c r="F2944" s="21"/>
      <c r="G2944" s="21"/>
      <c r="H2944" s="21"/>
      <c r="I2944" s="21"/>
      <c r="J2944" s="21"/>
      <c r="K2944" s="21"/>
      <c r="L2944" s="21"/>
      <c r="M2944" s="7"/>
      <c r="N2944" s="7"/>
      <c r="O2944" s="7"/>
      <c r="P2944" s="7"/>
      <c r="Q2944" s="7"/>
      <c r="R2944" s="7"/>
      <c r="S2944" s="7"/>
      <c r="T2944" s="7"/>
      <c r="U2944" s="7"/>
      <c r="V2944" s="7"/>
      <c r="W2944" s="7"/>
      <c r="X2944" s="7"/>
      <c r="Y2944" s="7"/>
      <c r="Z2944" s="7"/>
      <c r="AA2944" s="7"/>
      <c r="AB2944" s="7"/>
      <c r="AC2944" s="7"/>
      <c r="AD2944" s="7"/>
      <c r="AE2944" s="7"/>
    </row>
    <row r="2945">
      <c r="A2945" s="7"/>
      <c r="B2945" s="21"/>
      <c r="C2945" s="21"/>
      <c r="D2945" s="21"/>
      <c r="E2945" s="21"/>
      <c r="F2945" s="21"/>
      <c r="G2945" s="21"/>
      <c r="H2945" s="21"/>
      <c r="I2945" s="21"/>
      <c r="J2945" s="21"/>
      <c r="K2945" s="21"/>
      <c r="L2945" s="21"/>
      <c r="M2945" s="7"/>
      <c r="N2945" s="7"/>
      <c r="O2945" s="7"/>
      <c r="P2945" s="7"/>
      <c r="Q2945" s="7"/>
      <c r="R2945" s="7"/>
      <c r="S2945" s="7"/>
      <c r="T2945" s="7"/>
      <c r="U2945" s="7"/>
      <c r="V2945" s="7"/>
      <c r="W2945" s="7"/>
      <c r="X2945" s="7"/>
      <c r="Y2945" s="7"/>
      <c r="Z2945" s="7"/>
      <c r="AA2945" s="7"/>
      <c r="AB2945" s="7"/>
      <c r="AC2945" s="7"/>
      <c r="AD2945" s="7"/>
      <c r="AE2945" s="7"/>
    </row>
    <row r="2946">
      <c r="A2946" s="7"/>
      <c r="B2946" s="21"/>
      <c r="C2946" s="21"/>
      <c r="D2946" s="21"/>
      <c r="E2946" s="21"/>
      <c r="F2946" s="21"/>
      <c r="G2946" s="21"/>
      <c r="H2946" s="21"/>
      <c r="I2946" s="21"/>
      <c r="J2946" s="21"/>
      <c r="K2946" s="21"/>
      <c r="L2946" s="21"/>
      <c r="M2946" s="7"/>
      <c r="N2946" s="7"/>
      <c r="O2946" s="7"/>
      <c r="P2946" s="7"/>
      <c r="Q2946" s="7"/>
      <c r="R2946" s="7"/>
      <c r="S2946" s="7"/>
      <c r="T2946" s="7"/>
      <c r="U2946" s="7"/>
      <c r="V2946" s="7"/>
      <c r="W2946" s="7"/>
      <c r="X2946" s="7"/>
      <c r="Y2946" s="7"/>
      <c r="Z2946" s="7"/>
      <c r="AA2946" s="7"/>
      <c r="AB2946" s="7"/>
      <c r="AC2946" s="7"/>
      <c r="AD2946" s="7"/>
      <c r="AE2946" s="7"/>
    </row>
    <row r="2947">
      <c r="A2947" s="7"/>
      <c r="B2947" s="21"/>
      <c r="C2947" s="21"/>
      <c r="D2947" s="21"/>
      <c r="E2947" s="21"/>
      <c r="F2947" s="21"/>
      <c r="G2947" s="21"/>
      <c r="H2947" s="21"/>
      <c r="I2947" s="21"/>
      <c r="J2947" s="21"/>
      <c r="K2947" s="21"/>
      <c r="L2947" s="21"/>
      <c r="M2947" s="7"/>
      <c r="N2947" s="7"/>
      <c r="O2947" s="7"/>
      <c r="P2947" s="7"/>
      <c r="Q2947" s="7"/>
      <c r="R2947" s="7"/>
      <c r="S2947" s="7"/>
      <c r="T2947" s="7"/>
      <c r="U2947" s="7"/>
      <c r="V2947" s="7"/>
      <c r="W2947" s="7"/>
      <c r="X2947" s="7"/>
      <c r="Y2947" s="7"/>
      <c r="Z2947" s="7"/>
      <c r="AA2947" s="7"/>
      <c r="AB2947" s="7"/>
      <c r="AC2947" s="7"/>
      <c r="AD2947" s="7"/>
      <c r="AE2947" s="7"/>
    </row>
    <row r="2948">
      <c r="A2948" s="7"/>
      <c r="B2948" s="21"/>
      <c r="C2948" s="21"/>
      <c r="D2948" s="21"/>
      <c r="E2948" s="21"/>
      <c r="F2948" s="21"/>
      <c r="G2948" s="21"/>
      <c r="H2948" s="21"/>
      <c r="I2948" s="21"/>
      <c r="J2948" s="21"/>
      <c r="K2948" s="21"/>
      <c r="L2948" s="21"/>
      <c r="M2948" s="7"/>
      <c r="N2948" s="7"/>
      <c r="O2948" s="7"/>
      <c r="P2948" s="7"/>
      <c r="Q2948" s="7"/>
      <c r="R2948" s="7"/>
      <c r="S2948" s="7"/>
      <c r="T2948" s="7"/>
      <c r="U2948" s="7"/>
      <c r="V2948" s="7"/>
      <c r="W2948" s="7"/>
      <c r="X2948" s="7"/>
      <c r="Y2948" s="7"/>
      <c r="Z2948" s="7"/>
      <c r="AA2948" s="7"/>
      <c r="AB2948" s="7"/>
      <c r="AC2948" s="7"/>
      <c r="AD2948" s="7"/>
      <c r="AE2948" s="7"/>
    </row>
    <row r="2949">
      <c r="A2949" s="7"/>
      <c r="B2949" s="21"/>
      <c r="C2949" s="21"/>
      <c r="D2949" s="21"/>
      <c r="E2949" s="21"/>
      <c r="F2949" s="21"/>
      <c r="G2949" s="21"/>
      <c r="H2949" s="21"/>
      <c r="I2949" s="21"/>
      <c r="J2949" s="21"/>
      <c r="K2949" s="21"/>
      <c r="L2949" s="21"/>
      <c r="M2949" s="7"/>
      <c r="N2949" s="7"/>
      <c r="O2949" s="7"/>
      <c r="P2949" s="7"/>
      <c r="Q2949" s="7"/>
      <c r="R2949" s="7"/>
      <c r="S2949" s="7"/>
      <c r="T2949" s="7"/>
      <c r="U2949" s="7"/>
      <c r="V2949" s="7"/>
      <c r="W2949" s="7"/>
      <c r="X2949" s="7"/>
      <c r="Y2949" s="7"/>
      <c r="Z2949" s="7"/>
      <c r="AA2949" s="7"/>
      <c r="AB2949" s="7"/>
      <c r="AC2949" s="7"/>
      <c r="AD2949" s="7"/>
      <c r="AE2949" s="7"/>
    </row>
    <row r="2950">
      <c r="A2950" s="7"/>
      <c r="B2950" s="21"/>
      <c r="C2950" s="21"/>
      <c r="D2950" s="21"/>
      <c r="E2950" s="21"/>
      <c r="F2950" s="21"/>
      <c r="G2950" s="21"/>
      <c r="H2950" s="21"/>
      <c r="I2950" s="21"/>
      <c r="J2950" s="21"/>
      <c r="K2950" s="21"/>
      <c r="L2950" s="21"/>
      <c r="M2950" s="7"/>
      <c r="N2950" s="7"/>
      <c r="O2950" s="7"/>
      <c r="P2950" s="7"/>
      <c r="Q2950" s="7"/>
      <c r="R2950" s="7"/>
      <c r="S2950" s="7"/>
      <c r="T2950" s="7"/>
      <c r="U2950" s="7"/>
      <c r="V2950" s="7"/>
      <c r="W2950" s="7"/>
      <c r="X2950" s="7"/>
      <c r="Y2950" s="7"/>
      <c r="Z2950" s="7"/>
      <c r="AA2950" s="7"/>
      <c r="AB2950" s="7"/>
      <c r="AC2950" s="7"/>
      <c r="AD2950" s="7"/>
      <c r="AE2950" s="7"/>
    </row>
    <row r="2951">
      <c r="A2951" s="7"/>
      <c r="B2951" s="21"/>
      <c r="C2951" s="21"/>
      <c r="D2951" s="21"/>
      <c r="E2951" s="21"/>
      <c r="F2951" s="21"/>
      <c r="G2951" s="21"/>
      <c r="H2951" s="21"/>
      <c r="I2951" s="21"/>
      <c r="J2951" s="21"/>
      <c r="K2951" s="21"/>
      <c r="L2951" s="21"/>
      <c r="M2951" s="7"/>
      <c r="N2951" s="7"/>
      <c r="O2951" s="7"/>
      <c r="P2951" s="7"/>
      <c r="Q2951" s="7"/>
      <c r="R2951" s="7"/>
      <c r="S2951" s="7"/>
      <c r="T2951" s="7"/>
      <c r="U2951" s="7"/>
      <c r="V2951" s="7"/>
      <c r="W2951" s="7"/>
      <c r="X2951" s="7"/>
      <c r="Y2951" s="7"/>
      <c r="Z2951" s="7"/>
      <c r="AA2951" s="7"/>
      <c r="AB2951" s="7"/>
      <c r="AC2951" s="7"/>
      <c r="AD2951" s="7"/>
      <c r="AE2951" s="7"/>
    </row>
    <row r="2952">
      <c r="A2952" s="7"/>
      <c r="B2952" s="21"/>
      <c r="C2952" s="21"/>
      <c r="D2952" s="21"/>
      <c r="E2952" s="21"/>
      <c r="F2952" s="21"/>
      <c r="G2952" s="21"/>
      <c r="H2952" s="21"/>
      <c r="I2952" s="21"/>
      <c r="J2952" s="21"/>
      <c r="K2952" s="21"/>
      <c r="L2952" s="21"/>
      <c r="M2952" s="7"/>
      <c r="N2952" s="7"/>
      <c r="O2952" s="7"/>
      <c r="P2952" s="7"/>
      <c r="Q2952" s="7"/>
      <c r="R2952" s="7"/>
      <c r="S2952" s="7"/>
      <c r="T2952" s="7"/>
      <c r="U2952" s="7"/>
      <c r="V2952" s="7"/>
      <c r="W2952" s="7"/>
      <c r="X2952" s="7"/>
      <c r="Y2952" s="7"/>
      <c r="Z2952" s="7"/>
      <c r="AA2952" s="7"/>
      <c r="AB2952" s="7"/>
      <c r="AC2952" s="7"/>
      <c r="AD2952" s="7"/>
      <c r="AE2952" s="7"/>
    </row>
    <row r="2953">
      <c r="A2953" s="7"/>
      <c r="B2953" s="21"/>
      <c r="C2953" s="21"/>
      <c r="D2953" s="21"/>
      <c r="E2953" s="21"/>
      <c r="F2953" s="21"/>
      <c r="G2953" s="21"/>
      <c r="H2953" s="21"/>
      <c r="I2953" s="21"/>
      <c r="J2953" s="21"/>
      <c r="K2953" s="21"/>
      <c r="L2953" s="21"/>
      <c r="M2953" s="7"/>
      <c r="N2953" s="7"/>
      <c r="O2953" s="7"/>
      <c r="P2953" s="7"/>
      <c r="Q2953" s="7"/>
      <c r="R2953" s="7"/>
      <c r="S2953" s="7"/>
      <c r="T2953" s="7"/>
      <c r="U2953" s="7"/>
      <c r="V2953" s="7"/>
      <c r="W2953" s="7"/>
      <c r="X2953" s="7"/>
      <c r="Y2953" s="7"/>
      <c r="Z2953" s="7"/>
      <c r="AA2953" s="7"/>
      <c r="AB2953" s="7"/>
      <c r="AC2953" s="7"/>
      <c r="AD2953" s="7"/>
      <c r="AE2953" s="7"/>
    </row>
    <row r="2954">
      <c r="A2954" s="7"/>
      <c r="B2954" s="21"/>
      <c r="C2954" s="21"/>
      <c r="D2954" s="21"/>
      <c r="E2954" s="21"/>
      <c r="F2954" s="21"/>
      <c r="G2954" s="21"/>
      <c r="H2954" s="21"/>
      <c r="I2954" s="21"/>
      <c r="J2954" s="21"/>
      <c r="K2954" s="21"/>
      <c r="L2954" s="21"/>
      <c r="M2954" s="7"/>
      <c r="N2954" s="7"/>
      <c r="O2954" s="7"/>
      <c r="P2954" s="7"/>
      <c r="Q2954" s="7"/>
      <c r="R2954" s="7"/>
      <c r="S2954" s="7"/>
      <c r="T2954" s="7"/>
      <c r="U2954" s="7"/>
      <c r="V2954" s="7"/>
      <c r="W2954" s="7"/>
      <c r="X2954" s="7"/>
      <c r="Y2954" s="7"/>
      <c r="Z2954" s="7"/>
      <c r="AA2954" s="7"/>
      <c r="AB2954" s="7"/>
      <c r="AC2954" s="7"/>
      <c r="AD2954" s="7"/>
      <c r="AE2954" s="7"/>
    </row>
    <row r="2955">
      <c r="A2955" s="7"/>
      <c r="B2955" s="21"/>
      <c r="C2955" s="21"/>
      <c r="D2955" s="21"/>
      <c r="E2955" s="21"/>
      <c r="F2955" s="21"/>
      <c r="G2955" s="21"/>
      <c r="H2955" s="21"/>
      <c r="I2955" s="21"/>
      <c r="J2955" s="21"/>
      <c r="K2955" s="21"/>
      <c r="L2955" s="21"/>
      <c r="M2955" s="7"/>
      <c r="N2955" s="7"/>
      <c r="O2955" s="7"/>
      <c r="P2955" s="7"/>
      <c r="Q2955" s="7"/>
      <c r="R2955" s="7"/>
      <c r="S2955" s="7"/>
      <c r="T2955" s="7"/>
      <c r="U2955" s="7"/>
      <c r="V2955" s="7"/>
      <c r="W2955" s="7"/>
      <c r="X2955" s="7"/>
      <c r="Y2955" s="7"/>
      <c r="Z2955" s="7"/>
      <c r="AA2955" s="7"/>
      <c r="AB2955" s="7"/>
      <c r="AC2955" s="7"/>
      <c r="AD2955" s="7"/>
      <c r="AE2955" s="7"/>
    </row>
    <row r="2956">
      <c r="A2956" s="7"/>
      <c r="B2956" s="21"/>
      <c r="C2956" s="21"/>
      <c r="D2956" s="21"/>
      <c r="E2956" s="21"/>
      <c r="F2956" s="21"/>
      <c r="G2956" s="21"/>
      <c r="H2956" s="21"/>
      <c r="I2956" s="21"/>
      <c r="J2956" s="21"/>
      <c r="K2956" s="21"/>
      <c r="L2956" s="21"/>
      <c r="M2956" s="7"/>
      <c r="N2956" s="7"/>
      <c r="O2956" s="7"/>
      <c r="P2956" s="7"/>
      <c r="Q2956" s="7"/>
      <c r="R2956" s="7"/>
      <c r="S2956" s="7"/>
      <c r="T2956" s="7"/>
      <c r="U2956" s="7"/>
      <c r="V2956" s="7"/>
      <c r="W2956" s="7"/>
      <c r="X2956" s="7"/>
      <c r="Y2956" s="7"/>
      <c r="Z2956" s="7"/>
      <c r="AA2956" s="7"/>
      <c r="AB2956" s="7"/>
      <c r="AC2956" s="7"/>
      <c r="AD2956" s="7"/>
      <c r="AE2956" s="7"/>
    </row>
    <row r="2957">
      <c r="A2957" s="7"/>
      <c r="B2957" s="21"/>
      <c r="C2957" s="21"/>
      <c r="D2957" s="21"/>
      <c r="E2957" s="21"/>
      <c r="F2957" s="21"/>
      <c r="G2957" s="21"/>
      <c r="H2957" s="21"/>
      <c r="I2957" s="21"/>
      <c r="J2957" s="21"/>
      <c r="K2957" s="21"/>
      <c r="L2957" s="21"/>
      <c r="M2957" s="7"/>
      <c r="N2957" s="7"/>
      <c r="O2957" s="7"/>
      <c r="P2957" s="7"/>
      <c r="Q2957" s="7"/>
      <c r="R2957" s="7"/>
      <c r="S2957" s="7"/>
      <c r="T2957" s="7"/>
      <c r="U2957" s="7"/>
      <c r="V2957" s="7"/>
      <c r="W2957" s="7"/>
      <c r="X2957" s="7"/>
      <c r="Y2957" s="7"/>
      <c r="Z2957" s="7"/>
      <c r="AA2957" s="7"/>
      <c r="AB2957" s="7"/>
      <c r="AC2957" s="7"/>
      <c r="AD2957" s="7"/>
      <c r="AE2957" s="7"/>
    </row>
    <row r="2958">
      <c r="A2958" s="7"/>
      <c r="B2958" s="21"/>
      <c r="C2958" s="21"/>
      <c r="D2958" s="21"/>
      <c r="E2958" s="21"/>
      <c r="F2958" s="21"/>
      <c r="G2958" s="21"/>
      <c r="H2958" s="21"/>
      <c r="I2958" s="21"/>
      <c r="J2958" s="21"/>
      <c r="K2958" s="21"/>
      <c r="L2958" s="21"/>
      <c r="M2958" s="7"/>
      <c r="N2958" s="7"/>
      <c r="O2958" s="7"/>
      <c r="P2958" s="7"/>
      <c r="Q2958" s="7"/>
      <c r="R2958" s="7"/>
      <c r="S2958" s="7"/>
      <c r="T2958" s="7"/>
      <c r="U2958" s="7"/>
      <c r="V2958" s="7"/>
      <c r="W2958" s="7"/>
      <c r="X2958" s="7"/>
      <c r="Y2958" s="7"/>
      <c r="Z2958" s="7"/>
      <c r="AA2958" s="7"/>
      <c r="AB2958" s="7"/>
      <c r="AC2958" s="7"/>
      <c r="AD2958" s="7"/>
      <c r="AE2958" s="7"/>
    </row>
    <row r="2959">
      <c r="A2959" s="7"/>
      <c r="B2959" s="21"/>
      <c r="C2959" s="21"/>
      <c r="D2959" s="21"/>
      <c r="E2959" s="21"/>
      <c r="F2959" s="21"/>
      <c r="G2959" s="21"/>
      <c r="H2959" s="21"/>
      <c r="I2959" s="21"/>
      <c r="J2959" s="21"/>
      <c r="K2959" s="21"/>
      <c r="L2959" s="21"/>
      <c r="M2959" s="7"/>
      <c r="N2959" s="7"/>
      <c r="O2959" s="7"/>
      <c r="P2959" s="7"/>
      <c r="Q2959" s="7"/>
      <c r="R2959" s="7"/>
      <c r="S2959" s="7"/>
      <c r="T2959" s="7"/>
      <c r="U2959" s="7"/>
      <c r="V2959" s="7"/>
      <c r="W2959" s="7"/>
      <c r="X2959" s="7"/>
      <c r="Y2959" s="7"/>
      <c r="Z2959" s="7"/>
      <c r="AA2959" s="7"/>
      <c r="AB2959" s="7"/>
      <c r="AC2959" s="7"/>
      <c r="AD2959" s="7"/>
      <c r="AE2959" s="7"/>
    </row>
    <row r="2960">
      <c r="A2960" s="7"/>
      <c r="B2960" s="21"/>
      <c r="C2960" s="21"/>
      <c r="D2960" s="21"/>
      <c r="E2960" s="21"/>
      <c r="F2960" s="21"/>
      <c r="G2960" s="21"/>
      <c r="H2960" s="21"/>
      <c r="I2960" s="21"/>
      <c r="J2960" s="21"/>
      <c r="K2960" s="21"/>
      <c r="L2960" s="21"/>
      <c r="M2960" s="7"/>
      <c r="N2960" s="7"/>
      <c r="O2960" s="7"/>
      <c r="P2960" s="7"/>
      <c r="Q2960" s="7"/>
      <c r="R2960" s="7"/>
      <c r="S2960" s="7"/>
      <c r="T2960" s="7"/>
      <c r="U2960" s="7"/>
      <c r="V2960" s="7"/>
      <c r="W2960" s="7"/>
      <c r="X2960" s="7"/>
      <c r="Y2960" s="7"/>
      <c r="Z2960" s="7"/>
      <c r="AA2960" s="7"/>
      <c r="AB2960" s="7"/>
      <c r="AC2960" s="7"/>
      <c r="AD2960" s="7"/>
      <c r="AE2960" s="7"/>
    </row>
    <row r="2961">
      <c r="A2961" s="7"/>
      <c r="B2961" s="21"/>
      <c r="C2961" s="21"/>
      <c r="D2961" s="21"/>
      <c r="E2961" s="21"/>
      <c r="F2961" s="21"/>
      <c r="G2961" s="21"/>
      <c r="H2961" s="21"/>
      <c r="I2961" s="21"/>
      <c r="J2961" s="21"/>
      <c r="K2961" s="21"/>
      <c r="L2961" s="21"/>
      <c r="M2961" s="7"/>
      <c r="N2961" s="7"/>
      <c r="O2961" s="7"/>
      <c r="P2961" s="7"/>
      <c r="Q2961" s="7"/>
      <c r="R2961" s="7"/>
      <c r="S2961" s="7"/>
      <c r="T2961" s="7"/>
      <c r="U2961" s="7"/>
      <c r="V2961" s="7"/>
      <c r="W2961" s="7"/>
      <c r="X2961" s="7"/>
      <c r="Y2961" s="7"/>
      <c r="Z2961" s="7"/>
      <c r="AA2961" s="7"/>
      <c r="AB2961" s="7"/>
      <c r="AC2961" s="7"/>
      <c r="AD2961" s="7"/>
      <c r="AE2961" s="7"/>
    </row>
    <row r="2962">
      <c r="A2962" s="7"/>
      <c r="B2962" s="21"/>
      <c r="C2962" s="21"/>
      <c r="D2962" s="21"/>
      <c r="E2962" s="21"/>
      <c r="F2962" s="21"/>
      <c r="G2962" s="21"/>
      <c r="H2962" s="21"/>
      <c r="I2962" s="21"/>
      <c r="J2962" s="21"/>
      <c r="K2962" s="21"/>
      <c r="L2962" s="21"/>
      <c r="M2962" s="7"/>
      <c r="N2962" s="7"/>
      <c r="O2962" s="7"/>
      <c r="P2962" s="7"/>
      <c r="Q2962" s="7"/>
      <c r="R2962" s="7"/>
      <c r="S2962" s="7"/>
      <c r="T2962" s="7"/>
      <c r="U2962" s="7"/>
      <c r="V2962" s="7"/>
      <c r="W2962" s="7"/>
      <c r="X2962" s="7"/>
      <c r="Y2962" s="7"/>
      <c r="Z2962" s="7"/>
      <c r="AA2962" s="7"/>
      <c r="AB2962" s="7"/>
      <c r="AC2962" s="7"/>
      <c r="AD2962" s="7"/>
      <c r="AE2962" s="7"/>
    </row>
    <row r="2963">
      <c r="A2963" s="7"/>
      <c r="B2963" s="21"/>
      <c r="C2963" s="21"/>
      <c r="D2963" s="21"/>
      <c r="E2963" s="21"/>
      <c r="F2963" s="21"/>
      <c r="G2963" s="21"/>
      <c r="H2963" s="21"/>
      <c r="I2963" s="21"/>
      <c r="J2963" s="21"/>
      <c r="K2963" s="21"/>
      <c r="L2963" s="21"/>
      <c r="M2963" s="7"/>
      <c r="N2963" s="7"/>
      <c r="O2963" s="7"/>
      <c r="P2963" s="7"/>
      <c r="Q2963" s="7"/>
      <c r="R2963" s="7"/>
      <c r="S2963" s="7"/>
      <c r="T2963" s="7"/>
      <c r="U2963" s="7"/>
      <c r="V2963" s="7"/>
      <c r="W2963" s="7"/>
      <c r="X2963" s="7"/>
      <c r="Y2963" s="7"/>
      <c r="Z2963" s="7"/>
      <c r="AA2963" s="7"/>
      <c r="AB2963" s="7"/>
      <c r="AC2963" s="7"/>
      <c r="AD2963" s="7"/>
      <c r="AE2963" s="7"/>
    </row>
    <row r="2964">
      <c r="A2964" s="7"/>
      <c r="B2964" s="21"/>
      <c r="C2964" s="21"/>
      <c r="D2964" s="21"/>
      <c r="E2964" s="21"/>
      <c r="F2964" s="21"/>
      <c r="G2964" s="21"/>
      <c r="H2964" s="21"/>
      <c r="I2964" s="21"/>
      <c r="J2964" s="21"/>
      <c r="K2964" s="21"/>
      <c r="L2964" s="21"/>
      <c r="M2964" s="7"/>
      <c r="N2964" s="7"/>
      <c r="O2964" s="7"/>
      <c r="P2964" s="7"/>
      <c r="Q2964" s="7"/>
      <c r="R2964" s="7"/>
      <c r="S2964" s="7"/>
      <c r="T2964" s="7"/>
      <c r="U2964" s="7"/>
      <c r="V2964" s="7"/>
      <c r="W2964" s="7"/>
      <c r="X2964" s="7"/>
      <c r="Y2964" s="7"/>
      <c r="Z2964" s="7"/>
      <c r="AA2964" s="7"/>
      <c r="AB2964" s="7"/>
      <c r="AC2964" s="7"/>
      <c r="AD2964" s="7"/>
      <c r="AE2964" s="7"/>
    </row>
    <row r="2965">
      <c r="A2965" s="7"/>
      <c r="B2965" s="21"/>
      <c r="C2965" s="21"/>
      <c r="D2965" s="21"/>
      <c r="E2965" s="21"/>
      <c r="F2965" s="21"/>
      <c r="G2965" s="21"/>
      <c r="H2965" s="21"/>
      <c r="I2965" s="21"/>
      <c r="J2965" s="21"/>
      <c r="K2965" s="21"/>
      <c r="L2965" s="21"/>
      <c r="M2965" s="7"/>
      <c r="N2965" s="7"/>
      <c r="O2965" s="7"/>
      <c r="P2965" s="7"/>
      <c r="Q2965" s="7"/>
      <c r="R2965" s="7"/>
      <c r="S2965" s="7"/>
      <c r="T2965" s="7"/>
      <c r="U2965" s="7"/>
      <c r="V2965" s="7"/>
      <c r="W2965" s="7"/>
      <c r="X2965" s="7"/>
      <c r="Y2965" s="7"/>
      <c r="Z2965" s="7"/>
      <c r="AA2965" s="7"/>
      <c r="AB2965" s="7"/>
      <c r="AC2965" s="7"/>
      <c r="AD2965" s="7"/>
      <c r="AE2965" s="7"/>
    </row>
    <row r="2966">
      <c r="A2966" s="7"/>
      <c r="B2966" s="21"/>
      <c r="C2966" s="21"/>
      <c r="D2966" s="21"/>
      <c r="E2966" s="21"/>
      <c r="F2966" s="21"/>
      <c r="G2966" s="21"/>
      <c r="H2966" s="21"/>
      <c r="I2966" s="21"/>
      <c r="J2966" s="21"/>
      <c r="K2966" s="21"/>
      <c r="L2966" s="21"/>
      <c r="M2966" s="7"/>
      <c r="N2966" s="7"/>
      <c r="O2966" s="7"/>
      <c r="P2966" s="7"/>
      <c r="Q2966" s="7"/>
      <c r="R2966" s="7"/>
      <c r="S2966" s="7"/>
      <c r="T2966" s="7"/>
      <c r="U2966" s="7"/>
      <c r="V2966" s="7"/>
      <c r="W2966" s="7"/>
      <c r="X2966" s="7"/>
      <c r="Y2966" s="7"/>
      <c r="Z2966" s="7"/>
      <c r="AA2966" s="7"/>
      <c r="AB2966" s="7"/>
      <c r="AC2966" s="7"/>
      <c r="AD2966" s="7"/>
      <c r="AE2966" s="7"/>
    </row>
    <row r="2967">
      <c r="A2967" s="7"/>
      <c r="B2967" s="21"/>
      <c r="C2967" s="21"/>
      <c r="D2967" s="21"/>
      <c r="E2967" s="21"/>
      <c r="F2967" s="21"/>
      <c r="G2967" s="21"/>
      <c r="H2967" s="21"/>
      <c r="I2967" s="21"/>
      <c r="J2967" s="21"/>
      <c r="K2967" s="21"/>
      <c r="L2967" s="21"/>
      <c r="M2967" s="7"/>
      <c r="N2967" s="7"/>
      <c r="O2967" s="7"/>
      <c r="P2967" s="7"/>
      <c r="Q2967" s="7"/>
      <c r="R2967" s="7"/>
      <c r="S2967" s="7"/>
      <c r="T2967" s="7"/>
      <c r="U2967" s="7"/>
      <c r="V2967" s="7"/>
      <c r="W2967" s="7"/>
      <c r="X2967" s="7"/>
      <c r="Y2967" s="7"/>
      <c r="Z2967" s="7"/>
      <c r="AA2967" s="7"/>
      <c r="AB2967" s="7"/>
      <c r="AC2967" s="7"/>
      <c r="AD2967" s="7"/>
      <c r="AE2967" s="7"/>
    </row>
    <row r="2968">
      <c r="A2968" s="7"/>
      <c r="B2968" s="21"/>
      <c r="C2968" s="21"/>
      <c r="D2968" s="21"/>
      <c r="E2968" s="21"/>
      <c r="F2968" s="21"/>
      <c r="G2968" s="21"/>
      <c r="H2968" s="21"/>
      <c r="I2968" s="21"/>
      <c r="J2968" s="21"/>
      <c r="K2968" s="21"/>
      <c r="L2968" s="21"/>
      <c r="M2968" s="7"/>
      <c r="N2968" s="7"/>
      <c r="O2968" s="7"/>
      <c r="P2968" s="7"/>
      <c r="Q2968" s="7"/>
      <c r="R2968" s="7"/>
      <c r="S2968" s="7"/>
      <c r="T2968" s="7"/>
      <c r="U2968" s="7"/>
      <c r="V2968" s="7"/>
      <c r="W2968" s="7"/>
      <c r="X2968" s="7"/>
      <c r="Y2968" s="7"/>
      <c r="Z2968" s="7"/>
      <c r="AA2968" s="7"/>
      <c r="AB2968" s="7"/>
      <c r="AC2968" s="7"/>
      <c r="AD2968" s="7"/>
      <c r="AE2968" s="7"/>
    </row>
    <row r="2969">
      <c r="A2969" s="7"/>
      <c r="B2969" s="21"/>
      <c r="C2969" s="21"/>
      <c r="D2969" s="21"/>
      <c r="E2969" s="21"/>
      <c r="F2969" s="21"/>
      <c r="G2969" s="21"/>
      <c r="H2969" s="21"/>
      <c r="I2969" s="21"/>
      <c r="J2969" s="21"/>
      <c r="K2969" s="21"/>
      <c r="L2969" s="21"/>
      <c r="M2969" s="7"/>
      <c r="N2969" s="7"/>
      <c r="O2969" s="7"/>
      <c r="P2969" s="7"/>
      <c r="Q2969" s="7"/>
      <c r="R2969" s="7"/>
      <c r="S2969" s="7"/>
      <c r="T2969" s="7"/>
      <c r="U2969" s="7"/>
      <c r="V2969" s="7"/>
      <c r="W2969" s="7"/>
      <c r="X2969" s="7"/>
      <c r="Y2969" s="7"/>
      <c r="Z2969" s="7"/>
      <c r="AA2969" s="7"/>
      <c r="AB2969" s="7"/>
      <c r="AC2969" s="7"/>
      <c r="AD2969" s="7"/>
      <c r="AE2969" s="7"/>
    </row>
    <row r="2970">
      <c r="A2970" s="7"/>
      <c r="B2970" s="21"/>
      <c r="C2970" s="21"/>
      <c r="D2970" s="21"/>
      <c r="E2970" s="21"/>
      <c r="F2970" s="21"/>
      <c r="G2970" s="21"/>
      <c r="H2970" s="21"/>
      <c r="I2970" s="21"/>
      <c r="J2970" s="21"/>
      <c r="K2970" s="21"/>
      <c r="L2970" s="21"/>
      <c r="M2970" s="7"/>
      <c r="N2970" s="7"/>
      <c r="O2970" s="7"/>
      <c r="P2970" s="7"/>
      <c r="Q2970" s="7"/>
      <c r="R2970" s="7"/>
      <c r="S2970" s="7"/>
      <c r="T2970" s="7"/>
      <c r="U2970" s="7"/>
      <c r="V2970" s="7"/>
      <c r="W2970" s="7"/>
      <c r="X2970" s="7"/>
      <c r="Y2970" s="7"/>
      <c r="Z2970" s="7"/>
      <c r="AA2970" s="7"/>
      <c r="AB2970" s="7"/>
      <c r="AC2970" s="7"/>
      <c r="AD2970" s="7"/>
      <c r="AE2970" s="7"/>
    </row>
    <row r="2971">
      <c r="A2971" s="7"/>
      <c r="B2971" s="21"/>
      <c r="C2971" s="21"/>
      <c r="D2971" s="21"/>
      <c r="E2971" s="21"/>
      <c r="F2971" s="21"/>
      <c r="G2971" s="21"/>
      <c r="H2971" s="21"/>
      <c r="I2971" s="21"/>
      <c r="J2971" s="21"/>
      <c r="K2971" s="21"/>
      <c r="L2971" s="21"/>
      <c r="M2971" s="7"/>
      <c r="N2971" s="7"/>
      <c r="O2971" s="7"/>
      <c r="P2971" s="7"/>
      <c r="Q2971" s="7"/>
      <c r="R2971" s="7"/>
      <c r="S2971" s="7"/>
      <c r="T2971" s="7"/>
      <c r="U2971" s="7"/>
      <c r="V2971" s="7"/>
      <c r="W2971" s="7"/>
      <c r="X2971" s="7"/>
      <c r="Y2971" s="7"/>
      <c r="Z2971" s="7"/>
      <c r="AA2971" s="7"/>
      <c r="AB2971" s="7"/>
      <c r="AC2971" s="7"/>
      <c r="AD2971" s="7"/>
      <c r="AE2971" s="7"/>
    </row>
    <row r="2972">
      <c r="A2972" s="7"/>
      <c r="B2972" s="21"/>
      <c r="C2972" s="21"/>
      <c r="D2972" s="21"/>
      <c r="E2972" s="21"/>
      <c r="F2972" s="21"/>
      <c r="G2972" s="21"/>
      <c r="H2972" s="21"/>
      <c r="I2972" s="21"/>
      <c r="J2972" s="21"/>
      <c r="K2972" s="21"/>
      <c r="L2972" s="21"/>
      <c r="M2972" s="7"/>
      <c r="N2972" s="7"/>
      <c r="O2972" s="7"/>
      <c r="P2972" s="7"/>
      <c r="Q2972" s="7"/>
      <c r="R2972" s="7"/>
      <c r="S2972" s="7"/>
      <c r="T2972" s="7"/>
      <c r="U2972" s="7"/>
      <c r="V2972" s="7"/>
      <c r="W2972" s="7"/>
      <c r="X2972" s="7"/>
      <c r="Y2972" s="7"/>
      <c r="Z2972" s="7"/>
      <c r="AA2972" s="7"/>
      <c r="AB2972" s="7"/>
      <c r="AC2972" s="7"/>
      <c r="AD2972" s="7"/>
      <c r="AE2972" s="7"/>
    </row>
    <row r="2973">
      <c r="A2973" s="7"/>
      <c r="B2973" s="21"/>
      <c r="C2973" s="21"/>
      <c r="D2973" s="21"/>
      <c r="E2973" s="21"/>
      <c r="F2973" s="21"/>
      <c r="G2973" s="21"/>
      <c r="H2973" s="21"/>
      <c r="I2973" s="21"/>
      <c r="J2973" s="21"/>
      <c r="K2973" s="21"/>
      <c r="L2973" s="21"/>
      <c r="M2973" s="7"/>
      <c r="N2973" s="7"/>
      <c r="O2973" s="7"/>
      <c r="P2973" s="7"/>
      <c r="Q2973" s="7"/>
      <c r="R2973" s="7"/>
      <c r="S2973" s="7"/>
      <c r="T2973" s="7"/>
      <c r="U2973" s="7"/>
      <c r="V2973" s="7"/>
      <c r="W2973" s="7"/>
      <c r="X2973" s="7"/>
      <c r="Y2973" s="7"/>
      <c r="Z2973" s="7"/>
      <c r="AA2973" s="7"/>
      <c r="AB2973" s="7"/>
      <c r="AC2973" s="7"/>
      <c r="AD2973" s="7"/>
      <c r="AE2973" s="7"/>
    </row>
  </sheetData>
  <mergeCells count="2">
    <mergeCell ref="K1:L1"/>
    <mergeCell ref="K9:L9"/>
  </mergeCells>
  <dataValidations>
    <dataValidation type="list" allowBlank="1" showErrorMessage="1" sqref="D6">
      <formula1>'Дані Продажі'!$C:$C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tr">
        <f>IFERROR(__xludf.DUMMYFUNCTION("{IMPORTRANGE(K1,""Аркуш1!A1:H652"");IMPORTRANGE(K2,""Аркуш1!A2:H558"");IMPORTRANGE(K3,""Аркуш1!A2:H336"");IMPORTRANGE(K4,""Аркуш1!A2:H465"")}"),"Order ID")</f>
        <v>Order ID</v>
      </c>
      <c r="B1" s="24" t="str">
        <f>IFERROR(__xludf.DUMMYFUNCTION("""COMPUTED_VALUE"""),"Order Date")</f>
        <v>Order Date</v>
      </c>
      <c r="C1" s="24" t="str">
        <f>IFERROR(__xludf.DUMMYFUNCTION("""COMPUTED_VALUE"""),"Segment")</f>
        <v>Segment</v>
      </c>
      <c r="D1" s="24" t="str">
        <f>IFERROR(__xludf.DUMMYFUNCTION("""COMPUTED_VALUE"""),"State")</f>
        <v>State</v>
      </c>
      <c r="E1" s="24" t="str">
        <f>IFERROR(__xludf.DUMMYFUNCTION("""COMPUTED_VALUE"""),"Region")</f>
        <v>Region</v>
      </c>
      <c r="F1" s="24" t="str">
        <f>IFERROR(__xludf.DUMMYFUNCTION("""COMPUTED_VALUE"""),"Sales")</f>
        <v>Sales</v>
      </c>
      <c r="G1" s="24" t="str">
        <f>IFERROR(__xludf.DUMMYFUNCTION("""COMPUTED_VALUE"""),"Quantity")</f>
        <v>Quantity</v>
      </c>
      <c r="H1" s="24" t="str">
        <f>IFERROR(__xludf.DUMMYFUNCTION("""COMPUTED_VALUE"""),"Profit")</f>
        <v>Profit</v>
      </c>
      <c r="J1" s="4" t="s">
        <v>1</v>
      </c>
      <c r="K1" s="25" t="s">
        <v>22</v>
      </c>
    </row>
    <row r="2">
      <c r="A2" s="26" t="str">
        <f>IFERROR(__xludf.DUMMYFUNCTION("""COMPUTED_VALUE"""),"CA-2014-115812")</f>
        <v>CA-2014-115812</v>
      </c>
      <c r="B2" s="27">
        <f>IFERROR(__xludf.DUMMYFUNCTION("""COMPUTED_VALUE"""),41799.0)</f>
        <v>41799</v>
      </c>
      <c r="C2" s="26" t="str">
        <f>IFERROR(__xludf.DUMMYFUNCTION("""COMPUTED_VALUE"""),"Consumer")</f>
        <v>Consumer</v>
      </c>
      <c r="D2" s="26" t="str">
        <f>IFERROR(__xludf.DUMMYFUNCTION("""COMPUTED_VALUE"""),"California")</f>
        <v>California</v>
      </c>
      <c r="E2" s="26" t="str">
        <f>IFERROR(__xludf.DUMMYFUNCTION("""COMPUTED_VALUE"""),"West")</f>
        <v>West</v>
      </c>
      <c r="F2" s="26">
        <f>IFERROR(__xludf.DUMMYFUNCTION("""COMPUTED_VALUE"""),48.86)</f>
        <v>48.86</v>
      </c>
      <c r="G2" s="26">
        <f>IFERROR(__xludf.DUMMYFUNCTION("""COMPUTED_VALUE"""),7.0)</f>
        <v>7</v>
      </c>
      <c r="H2" s="26">
        <f>IFERROR(__xludf.DUMMYFUNCTION("""COMPUTED_VALUE"""),14.1694)</f>
        <v>14.1694</v>
      </c>
      <c r="J2" s="4" t="s">
        <v>4</v>
      </c>
      <c r="K2" s="28" t="s">
        <v>23</v>
      </c>
    </row>
    <row r="3">
      <c r="A3" s="26" t="str">
        <f>IFERROR(__xludf.DUMMYFUNCTION("""COMPUTED_VALUE"""),"CA-2014-167164")</f>
        <v>CA-2014-167164</v>
      </c>
      <c r="B3" s="27">
        <f>IFERROR(__xludf.DUMMYFUNCTION("""COMPUTED_VALUE"""),41772.0)</f>
        <v>41772</v>
      </c>
      <c r="C3" s="26" t="str">
        <f>IFERROR(__xludf.DUMMYFUNCTION("""COMPUTED_VALUE"""),"Consumer")</f>
        <v>Consumer</v>
      </c>
      <c r="D3" s="26" t="str">
        <f>IFERROR(__xludf.DUMMYFUNCTION("""COMPUTED_VALUE"""),"Utah")</f>
        <v>Utah</v>
      </c>
      <c r="E3" s="26" t="str">
        <f>IFERROR(__xludf.DUMMYFUNCTION("""COMPUTED_VALUE"""),"West")</f>
        <v>West</v>
      </c>
      <c r="F3" s="26">
        <f>IFERROR(__xludf.DUMMYFUNCTION("""COMPUTED_VALUE"""),55.5)</f>
        <v>55.5</v>
      </c>
      <c r="G3" s="26">
        <f>IFERROR(__xludf.DUMMYFUNCTION("""COMPUTED_VALUE"""),2.0)</f>
        <v>2</v>
      </c>
      <c r="H3" s="26">
        <f>IFERROR(__xludf.DUMMYFUNCTION("""COMPUTED_VALUE"""),9.99)</f>
        <v>9.99</v>
      </c>
      <c r="J3" s="4" t="s">
        <v>7</v>
      </c>
      <c r="K3" s="28" t="s">
        <v>24</v>
      </c>
    </row>
    <row r="4">
      <c r="A4" s="26" t="str">
        <f>IFERROR(__xludf.DUMMYFUNCTION("""COMPUTED_VALUE"""),"CA-2014-143336")</f>
        <v>CA-2014-143336</v>
      </c>
      <c r="B4" s="27">
        <f>IFERROR(__xludf.DUMMYFUNCTION("""COMPUTED_VALUE"""),41878.0)</f>
        <v>41878</v>
      </c>
      <c r="C4" s="26" t="str">
        <f>IFERROR(__xludf.DUMMYFUNCTION("""COMPUTED_VALUE"""),"Consumer")</f>
        <v>Consumer</v>
      </c>
      <c r="D4" s="26" t="str">
        <f>IFERROR(__xludf.DUMMYFUNCTION("""COMPUTED_VALUE"""),"California")</f>
        <v>California</v>
      </c>
      <c r="E4" s="26" t="str">
        <f>IFERROR(__xludf.DUMMYFUNCTION("""COMPUTED_VALUE"""),"West")</f>
        <v>West</v>
      </c>
      <c r="F4" s="26">
        <f>IFERROR(__xludf.DUMMYFUNCTION("""COMPUTED_VALUE"""),8.56)</f>
        <v>8.56</v>
      </c>
      <c r="G4" s="26">
        <f>IFERROR(__xludf.DUMMYFUNCTION("""COMPUTED_VALUE"""),2.0)</f>
        <v>2</v>
      </c>
      <c r="H4" s="26">
        <f>IFERROR(__xludf.DUMMYFUNCTION("""COMPUTED_VALUE"""),2.4824)</f>
        <v>2.4824</v>
      </c>
      <c r="J4" s="4" t="s">
        <v>10</v>
      </c>
      <c r="K4" s="25" t="s">
        <v>25</v>
      </c>
    </row>
    <row r="5">
      <c r="A5" s="26" t="str">
        <f>IFERROR(__xludf.DUMMYFUNCTION("""COMPUTED_VALUE"""),"CA-2014-106376")</f>
        <v>CA-2014-106376</v>
      </c>
      <c r="B5" s="27">
        <f>IFERROR(__xludf.DUMMYFUNCTION("""COMPUTED_VALUE"""),41978.0)</f>
        <v>41978</v>
      </c>
      <c r="C5" s="26" t="str">
        <f>IFERROR(__xludf.DUMMYFUNCTION("""COMPUTED_VALUE"""),"Corporate")</f>
        <v>Corporate</v>
      </c>
      <c r="D5" s="26" t="str">
        <f>IFERROR(__xludf.DUMMYFUNCTION("""COMPUTED_VALUE"""),"Arizona")</f>
        <v>Arizona</v>
      </c>
      <c r="E5" s="26" t="str">
        <f>IFERROR(__xludf.DUMMYFUNCTION("""COMPUTED_VALUE"""),"West")</f>
        <v>West</v>
      </c>
      <c r="F5" s="26">
        <f>IFERROR(__xludf.DUMMYFUNCTION("""COMPUTED_VALUE"""),1113.024)</f>
        <v>1113.024</v>
      </c>
      <c r="G5" s="26">
        <f>IFERROR(__xludf.DUMMYFUNCTION("""COMPUTED_VALUE"""),8.0)</f>
        <v>8</v>
      </c>
      <c r="H5" s="26">
        <f>IFERROR(__xludf.DUMMYFUNCTION("""COMPUTED_VALUE"""),111.3024)</f>
        <v>111.3024</v>
      </c>
    </row>
    <row r="6">
      <c r="A6" s="26" t="str">
        <f>IFERROR(__xludf.DUMMYFUNCTION("""COMPUTED_VALUE"""),"CA-2014-139451")</f>
        <v>CA-2014-139451</v>
      </c>
      <c r="B6" s="29">
        <f>IFERROR(__xludf.DUMMYFUNCTION("""COMPUTED_VALUE"""),41924.0)</f>
        <v>41924</v>
      </c>
      <c r="C6" s="26" t="str">
        <f>IFERROR(__xludf.DUMMYFUNCTION("""COMPUTED_VALUE"""),"Consumer")</f>
        <v>Consumer</v>
      </c>
      <c r="D6" s="26" t="str">
        <f>IFERROR(__xludf.DUMMYFUNCTION("""COMPUTED_VALUE"""),"California")</f>
        <v>California</v>
      </c>
      <c r="E6" s="26" t="str">
        <f>IFERROR(__xludf.DUMMYFUNCTION("""COMPUTED_VALUE"""),"West")</f>
        <v>West</v>
      </c>
      <c r="F6" s="26">
        <f>IFERROR(__xludf.DUMMYFUNCTION("""COMPUTED_VALUE"""),14.9)</f>
        <v>14.9</v>
      </c>
      <c r="G6" s="26">
        <f>IFERROR(__xludf.DUMMYFUNCTION("""COMPUTED_VALUE"""),5.0)</f>
        <v>5</v>
      </c>
      <c r="H6" s="26">
        <f>IFERROR(__xludf.DUMMYFUNCTION("""COMPUTED_VALUE"""),4.172)</f>
        <v>4.172</v>
      </c>
    </row>
    <row r="7">
      <c r="A7" s="26" t="str">
        <f>IFERROR(__xludf.DUMMYFUNCTION("""COMPUTED_VALUE"""),"CA-2014-104269")</f>
        <v>CA-2014-104269</v>
      </c>
      <c r="B7" s="27">
        <f>IFERROR(__xludf.DUMMYFUNCTION("""COMPUTED_VALUE"""),41699.0)</f>
        <v>41699</v>
      </c>
      <c r="C7" s="26" t="str">
        <f>IFERROR(__xludf.DUMMYFUNCTION("""COMPUTED_VALUE"""),"Consumer")</f>
        <v>Consumer</v>
      </c>
      <c r="D7" s="26" t="str">
        <f>IFERROR(__xludf.DUMMYFUNCTION("""COMPUTED_VALUE"""),"Washington")</f>
        <v>Washington</v>
      </c>
      <c r="E7" s="26" t="str">
        <f>IFERROR(__xludf.DUMMYFUNCTION("""COMPUTED_VALUE"""),"West")</f>
        <v>West</v>
      </c>
      <c r="F7" s="26">
        <f>IFERROR(__xludf.DUMMYFUNCTION("""COMPUTED_VALUE"""),457.568)</f>
        <v>457.568</v>
      </c>
      <c r="G7" s="26">
        <f>IFERROR(__xludf.DUMMYFUNCTION("""COMPUTED_VALUE"""),2.0)</f>
        <v>2</v>
      </c>
      <c r="H7" s="26">
        <f>IFERROR(__xludf.DUMMYFUNCTION("""COMPUTED_VALUE"""),51.4764)</f>
        <v>51.4764</v>
      </c>
    </row>
    <row r="8">
      <c r="A8" s="26" t="str">
        <f>IFERROR(__xludf.DUMMYFUNCTION("""COMPUTED_VALUE"""),"CA-2014-118962")</f>
        <v>CA-2014-118962</v>
      </c>
      <c r="B8" s="27">
        <f>IFERROR(__xludf.DUMMYFUNCTION("""COMPUTED_VALUE"""),41856.0)</f>
        <v>41856</v>
      </c>
      <c r="C8" s="26" t="str">
        <f>IFERROR(__xludf.DUMMYFUNCTION("""COMPUTED_VALUE"""),"Consumer")</f>
        <v>Consumer</v>
      </c>
      <c r="D8" s="26" t="str">
        <f>IFERROR(__xludf.DUMMYFUNCTION("""COMPUTED_VALUE"""),"California")</f>
        <v>California</v>
      </c>
      <c r="E8" s="26" t="str">
        <f>IFERROR(__xludf.DUMMYFUNCTION("""COMPUTED_VALUE"""),"West")</f>
        <v>West</v>
      </c>
      <c r="F8" s="26">
        <f>IFERROR(__xludf.DUMMYFUNCTION("""COMPUTED_VALUE"""),20.94)</f>
        <v>20.94</v>
      </c>
      <c r="G8" s="26">
        <f>IFERROR(__xludf.DUMMYFUNCTION("""COMPUTED_VALUE"""),3.0)</f>
        <v>3</v>
      </c>
      <c r="H8" s="26">
        <f>IFERROR(__xludf.DUMMYFUNCTION("""COMPUTED_VALUE"""),9.8418)</f>
        <v>9.8418</v>
      </c>
    </row>
    <row r="9">
      <c r="A9" s="26" t="str">
        <f>IFERROR(__xludf.DUMMYFUNCTION("""COMPUTED_VALUE"""),"CA-2014-123260")</f>
        <v>CA-2014-123260</v>
      </c>
      <c r="B9" s="27">
        <f>IFERROR(__xludf.DUMMYFUNCTION("""COMPUTED_VALUE"""),41877.0)</f>
        <v>41877</v>
      </c>
      <c r="C9" s="26" t="str">
        <f>IFERROR(__xludf.DUMMYFUNCTION("""COMPUTED_VALUE"""),"Home Office")</f>
        <v>Home Office</v>
      </c>
      <c r="D9" s="26" t="str">
        <f>IFERROR(__xludf.DUMMYFUNCTION("""COMPUTED_VALUE"""),"California")</f>
        <v>California</v>
      </c>
      <c r="E9" s="26" t="str">
        <f>IFERROR(__xludf.DUMMYFUNCTION("""COMPUTED_VALUE"""),"West")</f>
        <v>West</v>
      </c>
      <c r="F9" s="26">
        <f>IFERROR(__xludf.DUMMYFUNCTION("""COMPUTED_VALUE"""),176.8)</f>
        <v>176.8</v>
      </c>
      <c r="G9" s="26">
        <f>IFERROR(__xludf.DUMMYFUNCTION("""COMPUTED_VALUE"""),8.0)</f>
        <v>8</v>
      </c>
      <c r="H9" s="26">
        <f>IFERROR(__xludf.DUMMYFUNCTION("""COMPUTED_VALUE"""),22.984)</f>
        <v>22.984</v>
      </c>
    </row>
    <row r="10">
      <c r="A10" s="26" t="str">
        <f>IFERROR(__xludf.DUMMYFUNCTION("""COMPUTED_VALUE"""),"CA-2014-133690")</f>
        <v>CA-2014-133690</v>
      </c>
      <c r="B10" s="27">
        <f>IFERROR(__xludf.DUMMYFUNCTION("""COMPUTED_VALUE"""),41854.0)</f>
        <v>41854</v>
      </c>
      <c r="C10" s="26" t="str">
        <f>IFERROR(__xludf.DUMMYFUNCTION("""COMPUTED_VALUE"""),"Consumer")</f>
        <v>Consumer</v>
      </c>
      <c r="D10" s="26" t="str">
        <f>IFERROR(__xludf.DUMMYFUNCTION("""COMPUTED_VALUE"""),"Colorado")</f>
        <v>Colorado</v>
      </c>
      <c r="E10" s="26" t="str">
        <f>IFERROR(__xludf.DUMMYFUNCTION("""COMPUTED_VALUE"""),"West")</f>
        <v>West</v>
      </c>
      <c r="F10" s="26">
        <f>IFERROR(__xludf.DUMMYFUNCTION("""COMPUTED_VALUE"""),218.75)</f>
        <v>218.75</v>
      </c>
      <c r="G10" s="26">
        <f>IFERROR(__xludf.DUMMYFUNCTION("""COMPUTED_VALUE"""),2.0)</f>
        <v>2</v>
      </c>
      <c r="H10" s="26">
        <f>IFERROR(__xludf.DUMMYFUNCTION("""COMPUTED_VALUE"""),-161.875)</f>
        <v>-161.875</v>
      </c>
    </row>
    <row r="11">
      <c r="A11" s="26" t="str">
        <f>IFERROR(__xludf.DUMMYFUNCTION("""COMPUTED_VALUE"""),"CA-2014-111451")</f>
        <v>CA-2014-111451</v>
      </c>
      <c r="B11" s="29">
        <f>IFERROR(__xludf.DUMMYFUNCTION("""COMPUTED_VALUE"""),41999.0)</f>
        <v>41999</v>
      </c>
      <c r="C11" s="26" t="str">
        <f>IFERROR(__xludf.DUMMYFUNCTION("""COMPUTED_VALUE"""),"Corporate")</f>
        <v>Corporate</v>
      </c>
      <c r="D11" s="26" t="str">
        <f>IFERROR(__xludf.DUMMYFUNCTION("""COMPUTED_VALUE"""),"Colorado")</f>
        <v>Colorado</v>
      </c>
      <c r="E11" s="26" t="str">
        <f>IFERROR(__xludf.DUMMYFUNCTION("""COMPUTED_VALUE"""),"West")</f>
        <v>West</v>
      </c>
      <c r="F11" s="26">
        <f>IFERROR(__xludf.DUMMYFUNCTION("""COMPUTED_VALUE"""),300.416)</f>
        <v>300.416</v>
      </c>
      <c r="G11" s="26">
        <f>IFERROR(__xludf.DUMMYFUNCTION("""COMPUTED_VALUE"""),8.0)</f>
        <v>8</v>
      </c>
      <c r="H11" s="26">
        <f>IFERROR(__xludf.DUMMYFUNCTION("""COMPUTED_VALUE"""),78.8592)</f>
        <v>78.8592</v>
      </c>
    </row>
    <row r="12">
      <c r="A12" s="26" t="str">
        <f>IFERROR(__xludf.DUMMYFUNCTION("""COMPUTED_VALUE"""),"CA-2014-156601")</f>
        <v>CA-2014-156601</v>
      </c>
      <c r="B12" s="27">
        <f>IFERROR(__xludf.DUMMYFUNCTION("""COMPUTED_VALUE"""),41901.0)</f>
        <v>41901</v>
      </c>
      <c r="C12" s="26" t="str">
        <f>IFERROR(__xludf.DUMMYFUNCTION("""COMPUTED_VALUE"""),"Corporate")</f>
        <v>Corporate</v>
      </c>
      <c r="D12" s="26" t="str">
        <f>IFERROR(__xludf.DUMMYFUNCTION("""COMPUTED_VALUE"""),"California")</f>
        <v>California</v>
      </c>
      <c r="E12" s="26" t="str">
        <f>IFERROR(__xludf.DUMMYFUNCTION("""COMPUTED_VALUE"""),"West")</f>
        <v>West</v>
      </c>
      <c r="F12" s="26">
        <f>IFERROR(__xludf.DUMMYFUNCTION("""COMPUTED_VALUE"""),7.16)</f>
        <v>7.16</v>
      </c>
      <c r="G12" s="26">
        <f>IFERROR(__xludf.DUMMYFUNCTION("""COMPUTED_VALUE"""),2.0)</f>
        <v>2</v>
      </c>
      <c r="H12" s="26">
        <f>IFERROR(__xludf.DUMMYFUNCTION("""COMPUTED_VALUE"""),3.58)</f>
        <v>3.58</v>
      </c>
    </row>
    <row r="13">
      <c r="A13" s="26" t="str">
        <f>IFERROR(__xludf.DUMMYFUNCTION("""COMPUTED_VALUE"""),"CA-2014-129924")</f>
        <v>CA-2014-129924</v>
      </c>
      <c r="B13" s="27">
        <f>IFERROR(__xludf.DUMMYFUNCTION("""COMPUTED_VALUE"""),41832.0)</f>
        <v>41832</v>
      </c>
      <c r="C13" s="26" t="str">
        <f>IFERROR(__xludf.DUMMYFUNCTION("""COMPUTED_VALUE"""),"Corporate")</f>
        <v>Corporate</v>
      </c>
      <c r="D13" s="26" t="str">
        <f>IFERROR(__xludf.DUMMYFUNCTION("""COMPUTED_VALUE"""),"California")</f>
        <v>California</v>
      </c>
      <c r="E13" s="26" t="str">
        <f>IFERROR(__xludf.DUMMYFUNCTION("""COMPUTED_VALUE"""),"West")</f>
        <v>West</v>
      </c>
      <c r="F13" s="26">
        <f>IFERROR(__xludf.DUMMYFUNCTION("""COMPUTED_VALUE"""),7.712)</f>
        <v>7.712</v>
      </c>
      <c r="G13" s="26">
        <f>IFERROR(__xludf.DUMMYFUNCTION("""COMPUTED_VALUE"""),2.0)</f>
        <v>2</v>
      </c>
      <c r="H13" s="26">
        <f>IFERROR(__xludf.DUMMYFUNCTION("""COMPUTED_VALUE"""),2.7956)</f>
        <v>2.7956</v>
      </c>
    </row>
    <row r="14">
      <c r="A14" s="26" t="str">
        <f>IFERROR(__xludf.DUMMYFUNCTION("""COMPUTED_VALUE"""),"CA-2014-123344")</f>
        <v>CA-2014-123344</v>
      </c>
      <c r="B14" s="27">
        <f>IFERROR(__xludf.DUMMYFUNCTION("""COMPUTED_VALUE"""),41906.0)</f>
        <v>41906</v>
      </c>
      <c r="C14" s="26" t="str">
        <f>IFERROR(__xludf.DUMMYFUNCTION("""COMPUTED_VALUE"""),"Consumer")</f>
        <v>Consumer</v>
      </c>
      <c r="D14" s="26" t="str">
        <f>IFERROR(__xludf.DUMMYFUNCTION("""COMPUTED_VALUE"""),"California")</f>
        <v>California</v>
      </c>
      <c r="E14" s="26" t="str">
        <f>IFERROR(__xludf.DUMMYFUNCTION("""COMPUTED_VALUE"""),"West")</f>
        <v>West</v>
      </c>
      <c r="F14" s="26">
        <f>IFERROR(__xludf.DUMMYFUNCTION("""COMPUTED_VALUE"""),211.96)</f>
        <v>211.96</v>
      </c>
      <c r="G14" s="26">
        <f>IFERROR(__xludf.DUMMYFUNCTION("""COMPUTED_VALUE"""),4.0)</f>
        <v>4</v>
      </c>
      <c r="H14" s="26">
        <f>IFERROR(__xludf.DUMMYFUNCTION("""COMPUTED_VALUE"""),8.4784)</f>
        <v>8.4784</v>
      </c>
    </row>
    <row r="15">
      <c r="A15" s="26" t="str">
        <f>IFERROR(__xludf.DUMMYFUNCTION("""COMPUTED_VALUE"""),"US-2014-119137")</f>
        <v>US-2014-119137</v>
      </c>
      <c r="B15" s="27">
        <f>IFERROR(__xludf.DUMMYFUNCTION("""COMPUTED_VALUE"""),41843.0)</f>
        <v>41843</v>
      </c>
      <c r="C15" s="26" t="str">
        <f>IFERROR(__xludf.DUMMYFUNCTION("""COMPUTED_VALUE"""),"Consumer")</f>
        <v>Consumer</v>
      </c>
      <c r="D15" s="26" t="str">
        <f>IFERROR(__xludf.DUMMYFUNCTION("""COMPUTED_VALUE"""),"Arizona")</f>
        <v>Arizona</v>
      </c>
      <c r="E15" s="26" t="str">
        <f>IFERROR(__xludf.DUMMYFUNCTION("""COMPUTED_VALUE"""),"West")</f>
        <v>West</v>
      </c>
      <c r="F15" s="26">
        <f>IFERROR(__xludf.DUMMYFUNCTION("""COMPUTED_VALUE"""),8.16)</f>
        <v>8.16</v>
      </c>
      <c r="G15" s="26">
        <f>IFERROR(__xludf.DUMMYFUNCTION("""COMPUTED_VALUE"""),5.0)</f>
        <v>5</v>
      </c>
      <c r="H15" s="26">
        <f>IFERROR(__xludf.DUMMYFUNCTION("""COMPUTED_VALUE"""),-5.712)</f>
        <v>-5.712</v>
      </c>
    </row>
    <row r="16">
      <c r="A16" s="26" t="str">
        <f>IFERROR(__xludf.DUMMYFUNCTION("""COMPUTED_VALUE"""),"US-2014-135972")</f>
        <v>US-2014-135972</v>
      </c>
      <c r="B16" s="27">
        <f>IFERROR(__xludf.DUMMYFUNCTION("""COMPUTED_VALUE"""),41903.0)</f>
        <v>41903</v>
      </c>
      <c r="C16" s="26" t="str">
        <f>IFERROR(__xludf.DUMMYFUNCTION("""COMPUTED_VALUE"""),"Consumer")</f>
        <v>Consumer</v>
      </c>
      <c r="D16" s="26" t="str">
        <f>IFERROR(__xludf.DUMMYFUNCTION("""COMPUTED_VALUE"""),"Washington")</f>
        <v>Washington</v>
      </c>
      <c r="E16" s="26" t="str">
        <f>IFERROR(__xludf.DUMMYFUNCTION("""COMPUTED_VALUE"""),"West")</f>
        <v>West</v>
      </c>
      <c r="F16" s="26">
        <f>IFERROR(__xludf.DUMMYFUNCTION("""COMPUTED_VALUE"""),246.384)</f>
        <v>246.384</v>
      </c>
      <c r="G16" s="26">
        <f>IFERROR(__xludf.DUMMYFUNCTION("""COMPUTED_VALUE"""),2.0)</f>
        <v>2</v>
      </c>
      <c r="H16" s="26">
        <f>IFERROR(__xludf.DUMMYFUNCTION("""COMPUTED_VALUE"""),27.7182)</f>
        <v>27.7182</v>
      </c>
    </row>
    <row r="17">
      <c r="A17" s="26" t="str">
        <f>IFERROR(__xludf.DUMMYFUNCTION("""COMPUTED_VALUE"""),"CA-2014-142048")</f>
        <v>CA-2014-142048</v>
      </c>
      <c r="B17" s="27">
        <f>IFERROR(__xludf.DUMMYFUNCTION("""COMPUTED_VALUE"""),41812.0)</f>
        <v>41812</v>
      </c>
      <c r="C17" s="26" t="str">
        <f>IFERROR(__xludf.DUMMYFUNCTION("""COMPUTED_VALUE"""),"Consumer")</f>
        <v>Consumer</v>
      </c>
      <c r="D17" s="26" t="str">
        <f>IFERROR(__xludf.DUMMYFUNCTION("""COMPUTED_VALUE"""),"Colorado")</f>
        <v>Colorado</v>
      </c>
      <c r="E17" s="26" t="str">
        <f>IFERROR(__xludf.DUMMYFUNCTION("""COMPUTED_VALUE"""),"West")</f>
        <v>West</v>
      </c>
      <c r="F17" s="26">
        <f>IFERROR(__xludf.DUMMYFUNCTION("""COMPUTED_VALUE"""),196.752)</f>
        <v>196.752</v>
      </c>
      <c r="G17" s="26">
        <f>IFERROR(__xludf.DUMMYFUNCTION("""COMPUTED_VALUE"""),6.0)</f>
        <v>6</v>
      </c>
      <c r="H17" s="26">
        <f>IFERROR(__xludf.DUMMYFUNCTION("""COMPUTED_VALUE"""),56.5662)</f>
        <v>56.5662</v>
      </c>
    </row>
    <row r="18">
      <c r="A18" s="26" t="str">
        <f>IFERROR(__xludf.DUMMYFUNCTION("""COMPUTED_VALUE"""),"US-2014-110674")</f>
        <v>US-2014-110674</v>
      </c>
      <c r="B18" s="27">
        <f>IFERROR(__xludf.DUMMYFUNCTION("""COMPUTED_VALUE"""),41682.0)</f>
        <v>41682</v>
      </c>
      <c r="C18" s="26" t="str">
        <f>IFERROR(__xludf.DUMMYFUNCTION("""COMPUTED_VALUE"""),"Consumer")</f>
        <v>Consumer</v>
      </c>
      <c r="D18" s="26" t="str">
        <f>IFERROR(__xludf.DUMMYFUNCTION("""COMPUTED_VALUE"""),"California")</f>
        <v>California</v>
      </c>
      <c r="E18" s="26" t="str">
        <f>IFERROR(__xludf.DUMMYFUNCTION("""COMPUTED_VALUE"""),"West")</f>
        <v>West</v>
      </c>
      <c r="F18" s="26">
        <f>IFERROR(__xludf.DUMMYFUNCTION("""COMPUTED_VALUE"""),129.568)</f>
        <v>129.568</v>
      </c>
      <c r="G18" s="26">
        <f>IFERROR(__xludf.DUMMYFUNCTION("""COMPUTED_VALUE"""),2.0)</f>
        <v>2</v>
      </c>
      <c r="H18" s="26">
        <f>IFERROR(__xludf.DUMMYFUNCTION("""COMPUTED_VALUE"""),-24.294)</f>
        <v>-24.294</v>
      </c>
    </row>
    <row r="19">
      <c r="A19" s="26" t="str">
        <f>IFERROR(__xludf.DUMMYFUNCTION("""COMPUTED_VALUE"""),"CA-2014-144666")</f>
        <v>CA-2014-144666</v>
      </c>
      <c r="B19" s="27">
        <f>IFERROR(__xludf.DUMMYFUNCTION("""COMPUTED_VALUE"""),41952.0)</f>
        <v>41952</v>
      </c>
      <c r="C19" s="26" t="str">
        <f>IFERROR(__xludf.DUMMYFUNCTION("""COMPUTED_VALUE"""),"Consumer")</f>
        <v>Consumer</v>
      </c>
      <c r="D19" s="26" t="str">
        <f>IFERROR(__xludf.DUMMYFUNCTION("""COMPUTED_VALUE"""),"California")</f>
        <v>California</v>
      </c>
      <c r="E19" s="26" t="str">
        <f>IFERROR(__xludf.DUMMYFUNCTION("""COMPUTED_VALUE"""),"West")</f>
        <v>West</v>
      </c>
      <c r="F19" s="26">
        <f>IFERROR(__xludf.DUMMYFUNCTION("""COMPUTED_VALUE"""),340.92)</f>
        <v>340.92</v>
      </c>
      <c r="G19" s="26">
        <f>IFERROR(__xludf.DUMMYFUNCTION("""COMPUTED_VALUE"""),3.0)</f>
        <v>3</v>
      </c>
      <c r="H19" s="26">
        <f>IFERROR(__xludf.DUMMYFUNCTION("""COMPUTED_VALUE"""),3.4092)</f>
        <v>3.4092</v>
      </c>
    </row>
    <row r="20">
      <c r="A20" s="26" t="str">
        <f>IFERROR(__xludf.DUMMYFUNCTION("""COMPUTED_VALUE"""),"CA-2014-134677")</f>
        <v>CA-2014-134677</v>
      </c>
      <c r="B20" s="27">
        <f>IFERROR(__xludf.DUMMYFUNCTION("""COMPUTED_VALUE"""),41918.0)</f>
        <v>41918</v>
      </c>
      <c r="C20" s="26" t="str">
        <f>IFERROR(__xludf.DUMMYFUNCTION("""COMPUTED_VALUE"""),"Consumer")</f>
        <v>Consumer</v>
      </c>
      <c r="D20" s="26" t="str">
        <f>IFERROR(__xludf.DUMMYFUNCTION("""COMPUTED_VALUE"""),"California")</f>
        <v>California</v>
      </c>
      <c r="E20" s="26" t="str">
        <f>IFERROR(__xludf.DUMMYFUNCTION("""COMPUTED_VALUE"""),"West")</f>
        <v>West</v>
      </c>
      <c r="F20" s="26">
        <f>IFERROR(__xludf.DUMMYFUNCTION("""COMPUTED_VALUE"""),9.09)</f>
        <v>9.09</v>
      </c>
      <c r="G20" s="26">
        <f>IFERROR(__xludf.DUMMYFUNCTION("""COMPUTED_VALUE"""),3.0)</f>
        <v>3</v>
      </c>
      <c r="H20" s="26">
        <f>IFERROR(__xludf.DUMMYFUNCTION("""COMPUTED_VALUE"""),1.9089)</f>
        <v>1.9089</v>
      </c>
    </row>
    <row r="21">
      <c r="A21" s="26" t="str">
        <f>IFERROR(__xludf.DUMMYFUNCTION("""COMPUTED_VALUE"""),"CA-2014-131450")</f>
        <v>CA-2014-131450</v>
      </c>
      <c r="B21" s="27">
        <f>IFERROR(__xludf.DUMMYFUNCTION("""COMPUTED_VALUE"""),41859.0)</f>
        <v>41859</v>
      </c>
      <c r="C21" s="26" t="str">
        <f>IFERROR(__xludf.DUMMYFUNCTION("""COMPUTED_VALUE"""),"Consumer")</f>
        <v>Consumer</v>
      </c>
      <c r="D21" s="26" t="str">
        <f>IFERROR(__xludf.DUMMYFUNCTION("""COMPUTED_VALUE"""),"California")</f>
        <v>California</v>
      </c>
      <c r="E21" s="26" t="str">
        <f>IFERROR(__xludf.DUMMYFUNCTION("""COMPUTED_VALUE"""),"West")</f>
        <v>West</v>
      </c>
      <c r="F21" s="26">
        <f>IFERROR(__xludf.DUMMYFUNCTION("""COMPUTED_VALUE"""),76.12)</f>
        <v>76.12</v>
      </c>
      <c r="G21" s="26">
        <f>IFERROR(__xludf.DUMMYFUNCTION("""COMPUTED_VALUE"""),2.0)</f>
        <v>2</v>
      </c>
      <c r="H21" s="26">
        <f>IFERROR(__xludf.DUMMYFUNCTION("""COMPUTED_VALUE"""),22.0748)</f>
        <v>22.0748</v>
      </c>
    </row>
    <row r="22">
      <c r="A22" s="26" t="str">
        <f>IFERROR(__xludf.DUMMYFUNCTION("""COMPUTED_VALUE"""),"CA-2014-153150")</f>
        <v>CA-2014-153150</v>
      </c>
      <c r="B22" s="27">
        <f>IFERROR(__xludf.DUMMYFUNCTION("""COMPUTED_VALUE"""),41821.0)</f>
        <v>41821</v>
      </c>
      <c r="C22" s="26" t="str">
        <f>IFERROR(__xludf.DUMMYFUNCTION("""COMPUTED_VALUE"""),"Corporate")</f>
        <v>Corporate</v>
      </c>
      <c r="D22" s="26" t="str">
        <f>IFERROR(__xludf.DUMMYFUNCTION("""COMPUTED_VALUE"""),"Washington")</f>
        <v>Washington</v>
      </c>
      <c r="E22" s="26" t="str">
        <f>IFERROR(__xludf.DUMMYFUNCTION("""COMPUTED_VALUE"""),"West")</f>
        <v>West</v>
      </c>
      <c r="F22" s="26">
        <f>IFERROR(__xludf.DUMMYFUNCTION("""COMPUTED_VALUE"""),19.92)</f>
        <v>19.92</v>
      </c>
      <c r="G22" s="26">
        <f>IFERROR(__xludf.DUMMYFUNCTION("""COMPUTED_VALUE"""),5.0)</f>
        <v>5</v>
      </c>
      <c r="H22" s="26">
        <f>IFERROR(__xludf.DUMMYFUNCTION("""COMPUTED_VALUE"""),6.972)</f>
        <v>6.972</v>
      </c>
    </row>
    <row r="23">
      <c r="A23" s="26" t="str">
        <f>IFERROR(__xludf.DUMMYFUNCTION("""COMPUTED_VALUE"""),"CA-2014-104472")</f>
        <v>CA-2014-104472</v>
      </c>
      <c r="B23" s="27">
        <f>IFERROR(__xludf.DUMMYFUNCTION("""COMPUTED_VALUE"""),41792.0)</f>
        <v>41792</v>
      </c>
      <c r="C23" s="26" t="str">
        <f>IFERROR(__xludf.DUMMYFUNCTION("""COMPUTED_VALUE"""),"Home Office")</f>
        <v>Home Office</v>
      </c>
      <c r="D23" s="26" t="str">
        <f>IFERROR(__xludf.DUMMYFUNCTION("""COMPUTED_VALUE"""),"Utah")</f>
        <v>Utah</v>
      </c>
      <c r="E23" s="26" t="str">
        <f>IFERROR(__xludf.DUMMYFUNCTION("""COMPUTED_VALUE"""),"West")</f>
        <v>West</v>
      </c>
      <c r="F23" s="26">
        <f>IFERROR(__xludf.DUMMYFUNCTION("""COMPUTED_VALUE"""),59.808)</f>
        <v>59.808</v>
      </c>
      <c r="G23" s="26">
        <f>IFERROR(__xludf.DUMMYFUNCTION("""COMPUTED_VALUE"""),3.0)</f>
        <v>3</v>
      </c>
      <c r="H23" s="26">
        <f>IFERROR(__xludf.DUMMYFUNCTION("""COMPUTED_VALUE"""),19.4376)</f>
        <v>19.4376</v>
      </c>
    </row>
    <row r="24">
      <c r="A24" s="26" t="str">
        <f>IFERROR(__xludf.DUMMYFUNCTION("""COMPUTED_VALUE"""),"CA-2014-132500")</f>
        <v>CA-2014-132500</v>
      </c>
      <c r="B24" s="27">
        <f>IFERROR(__xludf.DUMMYFUNCTION("""COMPUTED_VALUE"""),41890.0)</f>
        <v>41890</v>
      </c>
      <c r="C24" s="26" t="str">
        <f>IFERROR(__xludf.DUMMYFUNCTION("""COMPUTED_VALUE"""),"Consumer")</f>
        <v>Consumer</v>
      </c>
      <c r="D24" s="26" t="str">
        <f>IFERROR(__xludf.DUMMYFUNCTION("""COMPUTED_VALUE"""),"California")</f>
        <v>California</v>
      </c>
      <c r="E24" s="26" t="str">
        <f>IFERROR(__xludf.DUMMYFUNCTION("""COMPUTED_VALUE"""),"West")</f>
        <v>West</v>
      </c>
      <c r="F24" s="26">
        <f>IFERROR(__xludf.DUMMYFUNCTION("""COMPUTED_VALUE"""),49.98)</f>
        <v>49.98</v>
      </c>
      <c r="G24" s="26">
        <f>IFERROR(__xludf.DUMMYFUNCTION("""COMPUTED_VALUE"""),2.0)</f>
        <v>2</v>
      </c>
      <c r="H24" s="26">
        <f>IFERROR(__xludf.DUMMYFUNCTION("""COMPUTED_VALUE"""),8.4966)</f>
        <v>8.4966</v>
      </c>
    </row>
    <row r="25">
      <c r="A25" s="26" t="str">
        <f>IFERROR(__xludf.DUMMYFUNCTION("""COMPUTED_VALUE"""),"CA-2014-124429")</f>
        <v>CA-2014-124429</v>
      </c>
      <c r="B25" s="27">
        <f>IFERROR(__xludf.DUMMYFUNCTION("""COMPUTED_VALUE"""),41786.0)</f>
        <v>41786</v>
      </c>
      <c r="C25" s="26" t="str">
        <f>IFERROR(__xludf.DUMMYFUNCTION("""COMPUTED_VALUE"""),"Corporate")</f>
        <v>Corporate</v>
      </c>
      <c r="D25" s="26" t="str">
        <f>IFERROR(__xludf.DUMMYFUNCTION("""COMPUTED_VALUE"""),"California")</f>
        <v>California</v>
      </c>
      <c r="E25" s="26" t="str">
        <f>IFERROR(__xludf.DUMMYFUNCTION("""COMPUTED_VALUE"""),"West")</f>
        <v>West</v>
      </c>
      <c r="F25" s="26">
        <f>IFERROR(__xludf.DUMMYFUNCTION("""COMPUTED_VALUE"""),567.12)</f>
        <v>567.12</v>
      </c>
      <c r="G25" s="26">
        <f>IFERROR(__xludf.DUMMYFUNCTION("""COMPUTED_VALUE"""),10.0)</f>
        <v>10</v>
      </c>
      <c r="H25" s="26">
        <f>IFERROR(__xludf.DUMMYFUNCTION("""COMPUTED_VALUE"""),-28.356)</f>
        <v>-28.356</v>
      </c>
    </row>
    <row r="26">
      <c r="A26" s="26" t="str">
        <f>IFERROR(__xludf.DUMMYFUNCTION("""COMPUTED_VALUE"""),"CA-2014-156433")</f>
        <v>CA-2014-156433</v>
      </c>
      <c r="B26" s="27">
        <f>IFERROR(__xludf.DUMMYFUNCTION("""COMPUTED_VALUE"""),41902.0)</f>
        <v>41902</v>
      </c>
      <c r="C26" s="26" t="str">
        <f>IFERROR(__xludf.DUMMYFUNCTION("""COMPUTED_VALUE"""),"Consumer")</f>
        <v>Consumer</v>
      </c>
      <c r="D26" s="26" t="str">
        <f>IFERROR(__xludf.DUMMYFUNCTION("""COMPUTED_VALUE"""),"California")</f>
        <v>California</v>
      </c>
      <c r="E26" s="26" t="str">
        <f>IFERROR(__xludf.DUMMYFUNCTION("""COMPUTED_VALUE"""),"West")</f>
        <v>West</v>
      </c>
      <c r="F26" s="26">
        <f>IFERROR(__xludf.DUMMYFUNCTION("""COMPUTED_VALUE"""),9.96)</f>
        <v>9.96</v>
      </c>
      <c r="G26" s="26">
        <f>IFERROR(__xludf.DUMMYFUNCTION("""COMPUTED_VALUE"""),2.0)</f>
        <v>2</v>
      </c>
      <c r="H26" s="26">
        <f>IFERROR(__xludf.DUMMYFUNCTION("""COMPUTED_VALUE"""),4.5816)</f>
        <v>4.5816</v>
      </c>
    </row>
    <row r="27">
      <c r="A27" s="26" t="str">
        <f>IFERROR(__xludf.DUMMYFUNCTION("""COMPUTED_VALUE"""),"CA-2014-134313")</f>
        <v>CA-2014-134313</v>
      </c>
      <c r="B27" s="27">
        <f>IFERROR(__xludf.DUMMYFUNCTION("""COMPUTED_VALUE"""),41944.0)</f>
        <v>41944</v>
      </c>
      <c r="C27" s="26" t="str">
        <f>IFERROR(__xludf.DUMMYFUNCTION("""COMPUTED_VALUE"""),"Consumer")</f>
        <v>Consumer</v>
      </c>
      <c r="D27" s="26" t="str">
        <f>IFERROR(__xludf.DUMMYFUNCTION("""COMPUTED_VALUE"""),"Colorado")</f>
        <v>Colorado</v>
      </c>
      <c r="E27" s="26" t="str">
        <f>IFERROR(__xludf.DUMMYFUNCTION("""COMPUTED_VALUE"""),"West")</f>
        <v>West</v>
      </c>
      <c r="F27" s="26">
        <f>IFERROR(__xludf.DUMMYFUNCTION("""COMPUTED_VALUE"""),43.176)</f>
        <v>43.176</v>
      </c>
      <c r="G27" s="26">
        <f>IFERROR(__xludf.DUMMYFUNCTION("""COMPUTED_VALUE"""),3.0)</f>
        <v>3</v>
      </c>
      <c r="H27" s="26">
        <f>IFERROR(__xludf.DUMMYFUNCTION("""COMPUTED_VALUE"""),4.3176)</f>
        <v>4.3176</v>
      </c>
    </row>
    <row r="28">
      <c r="A28" s="26" t="str">
        <f>IFERROR(__xludf.DUMMYFUNCTION("""COMPUTED_VALUE"""),"CA-2014-151995")</f>
        <v>CA-2014-151995</v>
      </c>
      <c r="B28" s="29">
        <f>IFERROR(__xludf.DUMMYFUNCTION("""COMPUTED_VALUE"""),41925.0)</f>
        <v>41925</v>
      </c>
      <c r="C28" s="26" t="str">
        <f>IFERROR(__xludf.DUMMYFUNCTION("""COMPUTED_VALUE"""),"Consumer")</f>
        <v>Consumer</v>
      </c>
      <c r="D28" s="26" t="str">
        <f>IFERROR(__xludf.DUMMYFUNCTION("""COMPUTED_VALUE"""),"Washington")</f>
        <v>Washington</v>
      </c>
      <c r="E28" s="26" t="str">
        <f>IFERROR(__xludf.DUMMYFUNCTION("""COMPUTED_VALUE"""),"West")</f>
        <v>West</v>
      </c>
      <c r="F28" s="26">
        <f>IFERROR(__xludf.DUMMYFUNCTION("""COMPUTED_VALUE"""),11.52)</f>
        <v>11.52</v>
      </c>
      <c r="G28" s="26">
        <f>IFERROR(__xludf.DUMMYFUNCTION("""COMPUTED_VALUE"""),4.0)</f>
        <v>4</v>
      </c>
      <c r="H28" s="26">
        <f>IFERROR(__xludf.DUMMYFUNCTION("""COMPUTED_VALUE"""),3.2256)</f>
        <v>3.2256</v>
      </c>
    </row>
    <row r="29">
      <c r="A29" s="26" t="str">
        <f>IFERROR(__xludf.DUMMYFUNCTION("""COMPUTED_VALUE"""),"US-2014-102071")</f>
        <v>US-2014-102071</v>
      </c>
      <c r="B29" s="27">
        <f>IFERROR(__xludf.DUMMYFUNCTION("""COMPUTED_VALUE"""),41768.0)</f>
        <v>41768</v>
      </c>
      <c r="C29" s="26" t="str">
        <f>IFERROR(__xludf.DUMMYFUNCTION("""COMPUTED_VALUE"""),"Consumer")</f>
        <v>Consumer</v>
      </c>
      <c r="D29" s="26" t="str">
        <f>IFERROR(__xludf.DUMMYFUNCTION("""COMPUTED_VALUE"""),"California")</f>
        <v>California</v>
      </c>
      <c r="E29" s="26" t="str">
        <f>IFERROR(__xludf.DUMMYFUNCTION("""COMPUTED_VALUE"""),"West")</f>
        <v>West</v>
      </c>
      <c r="F29" s="26">
        <f>IFERROR(__xludf.DUMMYFUNCTION("""COMPUTED_VALUE"""),67.8)</f>
        <v>67.8</v>
      </c>
      <c r="G29" s="26">
        <f>IFERROR(__xludf.DUMMYFUNCTION("""COMPUTED_VALUE"""),4.0)</f>
        <v>4</v>
      </c>
      <c r="H29" s="26">
        <f>IFERROR(__xludf.DUMMYFUNCTION("""COMPUTED_VALUE"""),4.068)</f>
        <v>4.068</v>
      </c>
    </row>
    <row r="30">
      <c r="A30" s="26" t="str">
        <f>IFERROR(__xludf.DUMMYFUNCTION("""COMPUTED_VALUE"""),"CA-2014-133851")</f>
        <v>CA-2014-133851</v>
      </c>
      <c r="B30" s="27">
        <f>IFERROR(__xludf.DUMMYFUNCTION("""COMPUTED_VALUE"""),41799.0)</f>
        <v>41799</v>
      </c>
      <c r="C30" s="26" t="str">
        <f>IFERROR(__xludf.DUMMYFUNCTION("""COMPUTED_VALUE"""),"Consumer")</f>
        <v>Consumer</v>
      </c>
      <c r="D30" s="26" t="str">
        <f>IFERROR(__xludf.DUMMYFUNCTION("""COMPUTED_VALUE"""),"California")</f>
        <v>California</v>
      </c>
      <c r="E30" s="26" t="str">
        <f>IFERROR(__xludf.DUMMYFUNCTION("""COMPUTED_VALUE"""),"West")</f>
        <v>West</v>
      </c>
      <c r="F30" s="26">
        <f>IFERROR(__xludf.DUMMYFUNCTION("""COMPUTED_VALUE"""),7.36)</f>
        <v>7.36</v>
      </c>
      <c r="G30" s="26">
        <f>IFERROR(__xludf.DUMMYFUNCTION("""COMPUTED_VALUE"""),2.0)</f>
        <v>2</v>
      </c>
      <c r="H30" s="26">
        <f>IFERROR(__xludf.DUMMYFUNCTION("""COMPUTED_VALUE"""),0.1472)</f>
        <v>0.1472</v>
      </c>
    </row>
    <row r="31">
      <c r="A31" s="26" t="str">
        <f>IFERROR(__xludf.DUMMYFUNCTION("""COMPUTED_VALUE"""),"CA-2014-104976")</f>
        <v>CA-2014-104976</v>
      </c>
      <c r="B31" s="27">
        <f>IFERROR(__xludf.DUMMYFUNCTION("""COMPUTED_VALUE"""),41982.0)</f>
        <v>41982</v>
      </c>
      <c r="C31" s="26" t="str">
        <f>IFERROR(__xludf.DUMMYFUNCTION("""COMPUTED_VALUE"""),"Corporate")</f>
        <v>Corporate</v>
      </c>
      <c r="D31" s="26" t="str">
        <f>IFERROR(__xludf.DUMMYFUNCTION("""COMPUTED_VALUE"""),"California")</f>
        <v>California</v>
      </c>
      <c r="E31" s="26" t="str">
        <f>IFERROR(__xludf.DUMMYFUNCTION("""COMPUTED_VALUE"""),"West")</f>
        <v>West</v>
      </c>
      <c r="F31" s="26">
        <f>IFERROR(__xludf.DUMMYFUNCTION("""COMPUTED_VALUE"""),34.68)</f>
        <v>34.68</v>
      </c>
      <c r="G31" s="26">
        <f>IFERROR(__xludf.DUMMYFUNCTION("""COMPUTED_VALUE"""),6.0)</f>
        <v>6</v>
      </c>
      <c r="H31" s="26">
        <f>IFERROR(__xludf.DUMMYFUNCTION("""COMPUTED_VALUE"""),16.9932)</f>
        <v>16.9932</v>
      </c>
    </row>
    <row r="32">
      <c r="A32" s="26" t="str">
        <f>IFERROR(__xludf.DUMMYFUNCTION("""COMPUTED_VALUE"""),"CA-2014-163419")</f>
        <v>CA-2014-163419</v>
      </c>
      <c r="B32" s="29">
        <f>IFERROR(__xludf.DUMMYFUNCTION("""COMPUTED_VALUE"""),41954.0)</f>
        <v>41954</v>
      </c>
      <c r="C32" s="26" t="str">
        <f>IFERROR(__xludf.DUMMYFUNCTION("""COMPUTED_VALUE"""),"Consumer")</f>
        <v>Consumer</v>
      </c>
      <c r="D32" s="26" t="str">
        <f>IFERROR(__xludf.DUMMYFUNCTION("""COMPUTED_VALUE"""),"Colorado")</f>
        <v>Colorado</v>
      </c>
      <c r="E32" s="26" t="str">
        <f>IFERROR(__xludf.DUMMYFUNCTION("""COMPUTED_VALUE"""),"West")</f>
        <v>West</v>
      </c>
      <c r="F32" s="26">
        <f>IFERROR(__xludf.DUMMYFUNCTION("""COMPUTED_VALUE"""),3.392)</f>
        <v>3.392</v>
      </c>
      <c r="G32" s="26">
        <f>IFERROR(__xludf.DUMMYFUNCTION("""COMPUTED_VALUE"""),1.0)</f>
        <v>1</v>
      </c>
      <c r="H32" s="26">
        <f>IFERROR(__xludf.DUMMYFUNCTION("""COMPUTED_VALUE"""),0.8056)</f>
        <v>0.8056</v>
      </c>
    </row>
    <row r="33">
      <c r="A33" s="26" t="str">
        <f>IFERROR(__xludf.DUMMYFUNCTION("""COMPUTED_VALUE"""),"CA-2014-158540")</f>
        <v>CA-2014-158540</v>
      </c>
      <c r="B33" s="29">
        <f>IFERROR(__xludf.DUMMYFUNCTION("""COMPUTED_VALUE"""),41967.0)</f>
        <v>41967</v>
      </c>
      <c r="C33" s="26" t="str">
        <f>IFERROR(__xludf.DUMMYFUNCTION("""COMPUTED_VALUE"""),"Consumer")</f>
        <v>Consumer</v>
      </c>
      <c r="D33" s="26" t="str">
        <f>IFERROR(__xludf.DUMMYFUNCTION("""COMPUTED_VALUE"""),"California")</f>
        <v>California</v>
      </c>
      <c r="E33" s="26" t="str">
        <f>IFERROR(__xludf.DUMMYFUNCTION("""COMPUTED_VALUE"""),"West")</f>
        <v>West</v>
      </c>
      <c r="F33" s="26">
        <f>IFERROR(__xludf.DUMMYFUNCTION("""COMPUTED_VALUE"""),151.72)</f>
        <v>151.72</v>
      </c>
      <c r="G33" s="26">
        <f>IFERROR(__xludf.DUMMYFUNCTION("""COMPUTED_VALUE"""),4.0)</f>
        <v>4</v>
      </c>
      <c r="H33" s="26">
        <f>IFERROR(__xludf.DUMMYFUNCTION("""COMPUTED_VALUE"""),27.3096)</f>
        <v>27.3096</v>
      </c>
    </row>
    <row r="34">
      <c r="A34" s="26" t="str">
        <f>IFERROR(__xludf.DUMMYFUNCTION("""COMPUTED_VALUE"""),"CA-2014-139192")</f>
        <v>CA-2014-139192</v>
      </c>
      <c r="B34" s="27">
        <f>IFERROR(__xludf.DUMMYFUNCTION("""COMPUTED_VALUE"""),41786.0)</f>
        <v>41786</v>
      </c>
      <c r="C34" s="26" t="str">
        <f>IFERROR(__xludf.DUMMYFUNCTION("""COMPUTED_VALUE"""),"Consumer")</f>
        <v>Consumer</v>
      </c>
      <c r="D34" s="26" t="str">
        <f>IFERROR(__xludf.DUMMYFUNCTION("""COMPUTED_VALUE"""),"California")</f>
        <v>California</v>
      </c>
      <c r="E34" s="26" t="str">
        <f>IFERROR(__xludf.DUMMYFUNCTION("""COMPUTED_VALUE"""),"West")</f>
        <v>West</v>
      </c>
      <c r="F34" s="26">
        <f>IFERROR(__xludf.DUMMYFUNCTION("""COMPUTED_VALUE"""),1113.504)</f>
        <v>1113.504</v>
      </c>
      <c r="G34" s="26">
        <f>IFERROR(__xludf.DUMMYFUNCTION("""COMPUTED_VALUE"""),12.0)</f>
        <v>12</v>
      </c>
      <c r="H34" s="26">
        <f>IFERROR(__xludf.DUMMYFUNCTION("""COMPUTED_VALUE"""),125.2692)</f>
        <v>125.2692</v>
      </c>
    </row>
    <row r="35">
      <c r="A35" s="26" t="str">
        <f>IFERROR(__xludf.DUMMYFUNCTION("""COMPUTED_VALUE"""),"CA-2014-159338")</f>
        <v>CA-2014-159338</v>
      </c>
      <c r="B35" s="27">
        <f>IFERROR(__xludf.DUMMYFUNCTION("""COMPUTED_VALUE"""),41815.0)</f>
        <v>41815</v>
      </c>
      <c r="C35" s="26" t="str">
        <f>IFERROR(__xludf.DUMMYFUNCTION("""COMPUTED_VALUE"""),"Corporate")</f>
        <v>Corporate</v>
      </c>
      <c r="D35" s="26" t="str">
        <f>IFERROR(__xludf.DUMMYFUNCTION("""COMPUTED_VALUE"""),"California")</f>
        <v>California</v>
      </c>
      <c r="E35" s="26" t="str">
        <f>IFERROR(__xludf.DUMMYFUNCTION("""COMPUTED_VALUE"""),"West")</f>
        <v>West</v>
      </c>
      <c r="F35" s="26">
        <f>IFERROR(__xludf.DUMMYFUNCTION("""COMPUTED_VALUE"""),447.84)</f>
        <v>447.84</v>
      </c>
      <c r="G35" s="26">
        <f>IFERROR(__xludf.DUMMYFUNCTION("""COMPUTED_VALUE"""),5.0)</f>
        <v>5</v>
      </c>
      <c r="H35" s="26">
        <f>IFERROR(__xludf.DUMMYFUNCTION("""COMPUTED_VALUE"""),11.196)</f>
        <v>11.196</v>
      </c>
    </row>
    <row r="36">
      <c r="A36" s="26" t="str">
        <f>IFERROR(__xludf.DUMMYFUNCTION("""COMPUTED_VALUE"""),"CA-2014-146969")</f>
        <v>CA-2014-146969</v>
      </c>
      <c r="B36" s="27">
        <f>IFERROR(__xludf.DUMMYFUNCTION("""COMPUTED_VALUE"""),41911.0)</f>
        <v>41911</v>
      </c>
      <c r="C36" s="26" t="str">
        <f>IFERROR(__xludf.DUMMYFUNCTION("""COMPUTED_VALUE"""),"Consumer")</f>
        <v>Consumer</v>
      </c>
      <c r="D36" s="26" t="str">
        <f>IFERROR(__xludf.DUMMYFUNCTION("""COMPUTED_VALUE"""),"California")</f>
        <v>California</v>
      </c>
      <c r="E36" s="26" t="str">
        <f>IFERROR(__xludf.DUMMYFUNCTION("""COMPUTED_VALUE"""),"West")</f>
        <v>West</v>
      </c>
      <c r="F36" s="26">
        <f>IFERROR(__xludf.DUMMYFUNCTION("""COMPUTED_VALUE"""),204.6)</f>
        <v>204.6</v>
      </c>
      <c r="G36" s="26">
        <f>IFERROR(__xludf.DUMMYFUNCTION("""COMPUTED_VALUE"""),2.0)</f>
        <v>2</v>
      </c>
      <c r="H36" s="26">
        <f>IFERROR(__xludf.DUMMYFUNCTION("""COMPUTED_VALUE"""),53.196)</f>
        <v>53.196</v>
      </c>
    </row>
    <row r="37">
      <c r="A37" s="26" t="str">
        <f>IFERROR(__xludf.DUMMYFUNCTION("""COMPUTED_VALUE"""),"CA-2014-126522")</f>
        <v>CA-2014-126522</v>
      </c>
      <c r="B37" s="27">
        <f>IFERROR(__xludf.DUMMYFUNCTION("""COMPUTED_VALUE"""),41883.0)</f>
        <v>41883</v>
      </c>
      <c r="C37" s="26" t="str">
        <f>IFERROR(__xludf.DUMMYFUNCTION("""COMPUTED_VALUE"""),"Consumer")</f>
        <v>Consumer</v>
      </c>
      <c r="D37" s="26" t="str">
        <f>IFERROR(__xludf.DUMMYFUNCTION("""COMPUTED_VALUE"""),"California")</f>
        <v>California</v>
      </c>
      <c r="E37" s="26" t="str">
        <f>IFERROR(__xludf.DUMMYFUNCTION("""COMPUTED_VALUE"""),"West")</f>
        <v>West</v>
      </c>
      <c r="F37" s="26">
        <f>IFERROR(__xludf.DUMMYFUNCTION("""COMPUTED_VALUE"""),53.94)</f>
        <v>53.94</v>
      </c>
      <c r="G37" s="26">
        <f>IFERROR(__xludf.DUMMYFUNCTION("""COMPUTED_VALUE"""),3.0)</f>
        <v>3</v>
      </c>
      <c r="H37" s="26">
        <f>IFERROR(__xludf.DUMMYFUNCTION("""COMPUTED_VALUE"""),15.6426)</f>
        <v>15.6426</v>
      </c>
    </row>
    <row r="38">
      <c r="A38" s="26" t="str">
        <f>IFERROR(__xludf.DUMMYFUNCTION("""COMPUTED_VALUE"""),"CA-2014-158064")</f>
        <v>CA-2014-158064</v>
      </c>
      <c r="B38" s="27">
        <f>IFERROR(__xludf.DUMMYFUNCTION("""COMPUTED_VALUE"""),41750.0)</f>
        <v>41750</v>
      </c>
      <c r="C38" s="26" t="str">
        <f>IFERROR(__xludf.DUMMYFUNCTION("""COMPUTED_VALUE"""),"Consumer")</f>
        <v>Consumer</v>
      </c>
      <c r="D38" s="26" t="str">
        <f>IFERROR(__xludf.DUMMYFUNCTION("""COMPUTED_VALUE"""),"California")</f>
        <v>California</v>
      </c>
      <c r="E38" s="26" t="str">
        <f>IFERROR(__xludf.DUMMYFUNCTION("""COMPUTED_VALUE"""),"West")</f>
        <v>West</v>
      </c>
      <c r="F38" s="26">
        <f>IFERROR(__xludf.DUMMYFUNCTION("""COMPUTED_VALUE"""),16.52)</f>
        <v>16.52</v>
      </c>
      <c r="G38" s="26">
        <f>IFERROR(__xludf.DUMMYFUNCTION("""COMPUTED_VALUE"""),5.0)</f>
        <v>5</v>
      </c>
      <c r="H38" s="26">
        <f>IFERROR(__xludf.DUMMYFUNCTION("""COMPUTED_VALUE"""),5.5755)</f>
        <v>5.5755</v>
      </c>
    </row>
    <row r="39">
      <c r="A39" s="26" t="str">
        <f>IFERROR(__xludf.DUMMYFUNCTION("""COMPUTED_VALUE"""),"CA-2014-120243")</f>
        <v>CA-2014-120243</v>
      </c>
      <c r="B39" s="29">
        <f>IFERROR(__xludf.DUMMYFUNCTION("""COMPUTED_VALUE"""),42000.0)</f>
        <v>42000</v>
      </c>
      <c r="C39" s="26" t="str">
        <f>IFERROR(__xludf.DUMMYFUNCTION("""COMPUTED_VALUE"""),"Home Office")</f>
        <v>Home Office</v>
      </c>
      <c r="D39" s="26" t="str">
        <f>IFERROR(__xludf.DUMMYFUNCTION("""COMPUTED_VALUE"""),"California")</f>
        <v>California</v>
      </c>
      <c r="E39" s="26" t="str">
        <f>IFERROR(__xludf.DUMMYFUNCTION("""COMPUTED_VALUE"""),"West")</f>
        <v>West</v>
      </c>
      <c r="F39" s="26">
        <f>IFERROR(__xludf.DUMMYFUNCTION("""COMPUTED_VALUE"""),11.56)</f>
        <v>11.56</v>
      </c>
      <c r="G39" s="26">
        <f>IFERROR(__xludf.DUMMYFUNCTION("""COMPUTED_VALUE"""),4.0)</f>
        <v>4</v>
      </c>
      <c r="H39" s="26">
        <f>IFERROR(__xludf.DUMMYFUNCTION("""COMPUTED_VALUE"""),5.4332)</f>
        <v>5.4332</v>
      </c>
    </row>
    <row r="40">
      <c r="A40" s="26" t="str">
        <f>IFERROR(__xludf.DUMMYFUNCTION("""COMPUTED_VALUE"""),"CA-2014-127131")</f>
        <v>CA-2014-127131</v>
      </c>
      <c r="B40" s="29">
        <f>IFERROR(__xludf.DUMMYFUNCTION("""COMPUTED_VALUE"""),41967.0)</f>
        <v>41967</v>
      </c>
      <c r="C40" s="26" t="str">
        <f>IFERROR(__xludf.DUMMYFUNCTION("""COMPUTED_VALUE"""),"Corporate")</f>
        <v>Corporate</v>
      </c>
      <c r="D40" s="26" t="str">
        <f>IFERROR(__xludf.DUMMYFUNCTION("""COMPUTED_VALUE"""),"Washington")</f>
        <v>Washington</v>
      </c>
      <c r="E40" s="26" t="str">
        <f>IFERROR(__xludf.DUMMYFUNCTION("""COMPUTED_VALUE"""),"West")</f>
        <v>West</v>
      </c>
      <c r="F40" s="26">
        <f>IFERROR(__xludf.DUMMYFUNCTION("""COMPUTED_VALUE"""),12.096)</f>
        <v>12.096</v>
      </c>
      <c r="G40" s="26">
        <f>IFERROR(__xludf.DUMMYFUNCTION("""COMPUTED_VALUE"""),7.0)</f>
        <v>7</v>
      </c>
      <c r="H40" s="26">
        <f>IFERROR(__xludf.DUMMYFUNCTION("""COMPUTED_VALUE"""),4.2336)</f>
        <v>4.2336</v>
      </c>
    </row>
    <row r="41">
      <c r="A41" s="26" t="str">
        <f>IFERROR(__xludf.DUMMYFUNCTION("""COMPUTED_VALUE"""),"CA-2014-110184")</f>
        <v>CA-2014-110184</v>
      </c>
      <c r="B41" s="27">
        <f>IFERROR(__xludf.DUMMYFUNCTION("""COMPUTED_VALUE"""),41832.0)</f>
        <v>41832</v>
      </c>
      <c r="C41" s="26" t="str">
        <f>IFERROR(__xludf.DUMMYFUNCTION("""COMPUTED_VALUE"""),"Home Office")</f>
        <v>Home Office</v>
      </c>
      <c r="D41" s="26" t="str">
        <f>IFERROR(__xludf.DUMMYFUNCTION("""COMPUTED_VALUE"""),"California")</f>
        <v>California</v>
      </c>
      <c r="E41" s="26" t="str">
        <f>IFERROR(__xludf.DUMMYFUNCTION("""COMPUTED_VALUE"""),"West")</f>
        <v>West</v>
      </c>
      <c r="F41" s="26">
        <f>IFERROR(__xludf.DUMMYFUNCTION("""COMPUTED_VALUE"""),249.75)</f>
        <v>249.75</v>
      </c>
      <c r="G41" s="26">
        <f>IFERROR(__xludf.DUMMYFUNCTION("""COMPUTED_VALUE"""),9.0)</f>
        <v>9</v>
      </c>
      <c r="H41" s="26">
        <f>IFERROR(__xludf.DUMMYFUNCTION("""COMPUTED_VALUE"""),44.955)</f>
        <v>44.955</v>
      </c>
    </row>
    <row r="42">
      <c r="A42" s="26" t="str">
        <f>IFERROR(__xludf.DUMMYFUNCTION("""COMPUTED_VALUE"""),"CA-2014-127012")</f>
        <v>CA-2014-127012</v>
      </c>
      <c r="B42" s="27">
        <f>IFERROR(__xludf.DUMMYFUNCTION("""COMPUTED_VALUE"""),41862.0)</f>
        <v>41862</v>
      </c>
      <c r="C42" s="26" t="str">
        <f>IFERROR(__xludf.DUMMYFUNCTION("""COMPUTED_VALUE"""),"Consumer")</f>
        <v>Consumer</v>
      </c>
      <c r="D42" s="26" t="str">
        <f>IFERROR(__xludf.DUMMYFUNCTION("""COMPUTED_VALUE"""),"Washington")</f>
        <v>Washington</v>
      </c>
      <c r="E42" s="26" t="str">
        <f>IFERROR(__xludf.DUMMYFUNCTION("""COMPUTED_VALUE"""),"West")</f>
        <v>West</v>
      </c>
      <c r="F42" s="26">
        <f>IFERROR(__xludf.DUMMYFUNCTION("""COMPUTED_VALUE"""),12.35)</f>
        <v>12.35</v>
      </c>
      <c r="G42" s="26">
        <f>IFERROR(__xludf.DUMMYFUNCTION("""COMPUTED_VALUE"""),1.0)</f>
        <v>1</v>
      </c>
      <c r="H42" s="26">
        <f>IFERROR(__xludf.DUMMYFUNCTION("""COMPUTED_VALUE"""),5.434)</f>
        <v>5.434</v>
      </c>
    </row>
    <row r="43">
      <c r="A43" s="26" t="str">
        <f>IFERROR(__xludf.DUMMYFUNCTION("""COMPUTED_VALUE"""),"CA-2014-168494")</f>
        <v>CA-2014-168494</v>
      </c>
      <c r="B43" s="29">
        <f>IFERROR(__xludf.DUMMYFUNCTION("""COMPUTED_VALUE"""),41985.0)</f>
        <v>41985</v>
      </c>
      <c r="C43" s="26" t="str">
        <f>IFERROR(__xludf.DUMMYFUNCTION("""COMPUTED_VALUE"""),"Consumer")</f>
        <v>Consumer</v>
      </c>
      <c r="D43" s="26" t="str">
        <f>IFERROR(__xludf.DUMMYFUNCTION("""COMPUTED_VALUE"""),"California")</f>
        <v>California</v>
      </c>
      <c r="E43" s="26" t="str">
        <f>IFERROR(__xludf.DUMMYFUNCTION("""COMPUTED_VALUE"""),"West")</f>
        <v>West</v>
      </c>
      <c r="F43" s="26">
        <f>IFERROR(__xludf.DUMMYFUNCTION("""COMPUTED_VALUE"""),764.688)</f>
        <v>764.688</v>
      </c>
      <c r="G43" s="26">
        <f>IFERROR(__xludf.DUMMYFUNCTION("""COMPUTED_VALUE"""),6.0)</f>
        <v>6</v>
      </c>
      <c r="H43" s="26">
        <f>IFERROR(__xludf.DUMMYFUNCTION("""COMPUTED_VALUE"""),95.586)</f>
        <v>95.586</v>
      </c>
    </row>
    <row r="44">
      <c r="A44" s="26" t="str">
        <f>IFERROR(__xludf.DUMMYFUNCTION("""COMPUTED_VALUE"""),"US-2014-167738")</f>
        <v>US-2014-167738</v>
      </c>
      <c r="B44" s="29">
        <f>IFERROR(__xludf.DUMMYFUNCTION("""COMPUTED_VALUE"""),41997.0)</f>
        <v>41997</v>
      </c>
      <c r="C44" s="26" t="str">
        <f>IFERROR(__xludf.DUMMYFUNCTION("""COMPUTED_VALUE"""),"Corporate")</f>
        <v>Corporate</v>
      </c>
      <c r="D44" s="26" t="str">
        <f>IFERROR(__xludf.DUMMYFUNCTION("""COMPUTED_VALUE"""),"California")</f>
        <v>California</v>
      </c>
      <c r="E44" s="26" t="str">
        <f>IFERROR(__xludf.DUMMYFUNCTION("""COMPUTED_VALUE"""),"West")</f>
        <v>West</v>
      </c>
      <c r="F44" s="26">
        <f>IFERROR(__xludf.DUMMYFUNCTION("""COMPUTED_VALUE"""),142.86)</f>
        <v>142.86</v>
      </c>
      <c r="G44" s="26">
        <f>IFERROR(__xludf.DUMMYFUNCTION("""COMPUTED_VALUE"""),1.0)</f>
        <v>1</v>
      </c>
      <c r="H44" s="26">
        <f>IFERROR(__xludf.DUMMYFUNCTION("""COMPUTED_VALUE"""),41.4294)</f>
        <v>41.4294</v>
      </c>
    </row>
    <row r="45">
      <c r="A45" s="26" t="str">
        <f>IFERROR(__xludf.DUMMYFUNCTION("""COMPUTED_VALUE"""),"CA-2014-121664")</f>
        <v>CA-2014-121664</v>
      </c>
      <c r="B45" s="27">
        <f>IFERROR(__xludf.DUMMYFUNCTION("""COMPUTED_VALUE"""),41765.0)</f>
        <v>41765</v>
      </c>
      <c r="C45" s="26" t="str">
        <f>IFERROR(__xludf.DUMMYFUNCTION("""COMPUTED_VALUE"""),"Home Office")</f>
        <v>Home Office</v>
      </c>
      <c r="D45" s="26" t="str">
        <f>IFERROR(__xludf.DUMMYFUNCTION("""COMPUTED_VALUE"""),"California")</f>
        <v>California</v>
      </c>
      <c r="E45" s="26" t="str">
        <f>IFERROR(__xludf.DUMMYFUNCTION("""COMPUTED_VALUE"""),"West")</f>
        <v>West</v>
      </c>
      <c r="F45" s="26">
        <f>IFERROR(__xludf.DUMMYFUNCTION("""COMPUTED_VALUE"""),140.736)</f>
        <v>140.736</v>
      </c>
      <c r="G45" s="26">
        <f>IFERROR(__xludf.DUMMYFUNCTION("""COMPUTED_VALUE"""),8.0)</f>
        <v>8</v>
      </c>
      <c r="H45" s="26">
        <f>IFERROR(__xludf.DUMMYFUNCTION("""COMPUTED_VALUE"""),52.776)</f>
        <v>52.776</v>
      </c>
    </row>
    <row r="46">
      <c r="A46" s="26" t="str">
        <f>IFERROR(__xludf.DUMMYFUNCTION("""COMPUTED_VALUE"""),"US-2014-151925")</f>
        <v>US-2014-151925</v>
      </c>
      <c r="B46" s="27">
        <f>IFERROR(__xludf.DUMMYFUNCTION("""COMPUTED_VALUE"""),41908.0)</f>
        <v>41908</v>
      </c>
      <c r="C46" s="26" t="str">
        <f>IFERROR(__xludf.DUMMYFUNCTION("""COMPUTED_VALUE"""),"Consumer")</f>
        <v>Consumer</v>
      </c>
      <c r="D46" s="26" t="str">
        <f>IFERROR(__xludf.DUMMYFUNCTION("""COMPUTED_VALUE"""),"California")</f>
        <v>California</v>
      </c>
      <c r="E46" s="26" t="str">
        <f>IFERROR(__xludf.DUMMYFUNCTION("""COMPUTED_VALUE"""),"West")</f>
        <v>West</v>
      </c>
      <c r="F46" s="26">
        <f>IFERROR(__xludf.DUMMYFUNCTION("""COMPUTED_VALUE"""),145.568)</f>
        <v>145.568</v>
      </c>
      <c r="G46" s="26">
        <f>IFERROR(__xludf.DUMMYFUNCTION("""COMPUTED_VALUE"""),2.0)</f>
        <v>2</v>
      </c>
      <c r="H46" s="26">
        <f>IFERROR(__xludf.DUMMYFUNCTION("""COMPUTED_VALUE"""),0.0)</f>
        <v>0</v>
      </c>
    </row>
    <row r="47">
      <c r="A47" s="26" t="str">
        <f>IFERROR(__xludf.DUMMYFUNCTION("""COMPUTED_VALUE"""),"US-2014-157021")</f>
        <v>US-2014-157021</v>
      </c>
      <c r="B47" s="27">
        <f>IFERROR(__xludf.DUMMYFUNCTION("""COMPUTED_VALUE"""),41730.0)</f>
        <v>41730</v>
      </c>
      <c r="C47" s="26" t="str">
        <f>IFERROR(__xludf.DUMMYFUNCTION("""COMPUTED_VALUE"""),"Consumer")</f>
        <v>Consumer</v>
      </c>
      <c r="D47" s="26" t="str">
        <f>IFERROR(__xludf.DUMMYFUNCTION("""COMPUTED_VALUE"""),"California")</f>
        <v>California</v>
      </c>
      <c r="E47" s="26" t="str">
        <f>IFERROR(__xludf.DUMMYFUNCTION("""COMPUTED_VALUE"""),"West")</f>
        <v>West</v>
      </c>
      <c r="F47" s="26">
        <f>IFERROR(__xludf.DUMMYFUNCTION("""COMPUTED_VALUE"""),29.6)</f>
        <v>29.6</v>
      </c>
      <c r="G47" s="26">
        <f>IFERROR(__xludf.DUMMYFUNCTION("""COMPUTED_VALUE"""),2.0)</f>
        <v>2</v>
      </c>
      <c r="H47" s="26">
        <f>IFERROR(__xludf.DUMMYFUNCTION("""COMPUTED_VALUE"""),14.8)</f>
        <v>14.8</v>
      </c>
    </row>
    <row r="48">
      <c r="A48" s="26" t="str">
        <f>IFERROR(__xludf.DUMMYFUNCTION("""COMPUTED_VALUE"""),"CA-2014-126361")</f>
        <v>CA-2014-126361</v>
      </c>
      <c r="B48" s="27">
        <f>IFERROR(__xludf.DUMMYFUNCTION("""COMPUTED_VALUE"""),41855.0)</f>
        <v>41855</v>
      </c>
      <c r="C48" s="26" t="str">
        <f>IFERROR(__xludf.DUMMYFUNCTION("""COMPUTED_VALUE"""),"Consumer")</f>
        <v>Consumer</v>
      </c>
      <c r="D48" s="26" t="str">
        <f>IFERROR(__xludf.DUMMYFUNCTION("""COMPUTED_VALUE"""),"Utah")</f>
        <v>Utah</v>
      </c>
      <c r="E48" s="26" t="str">
        <f>IFERROR(__xludf.DUMMYFUNCTION("""COMPUTED_VALUE"""),"West")</f>
        <v>West</v>
      </c>
      <c r="F48" s="26">
        <f>IFERROR(__xludf.DUMMYFUNCTION("""COMPUTED_VALUE"""),1089.75)</f>
        <v>1089.75</v>
      </c>
      <c r="G48" s="26">
        <f>IFERROR(__xludf.DUMMYFUNCTION("""COMPUTED_VALUE"""),3.0)</f>
        <v>3</v>
      </c>
      <c r="H48" s="26">
        <f>IFERROR(__xludf.DUMMYFUNCTION("""COMPUTED_VALUE"""),305.13)</f>
        <v>305.13</v>
      </c>
    </row>
    <row r="49">
      <c r="A49" s="26" t="str">
        <f>IFERROR(__xludf.DUMMYFUNCTION("""COMPUTED_VALUE"""),"CA-2014-151708")</f>
        <v>CA-2014-151708</v>
      </c>
      <c r="B49" s="27">
        <f>IFERROR(__xludf.DUMMYFUNCTION("""COMPUTED_VALUE"""),41859.0)</f>
        <v>41859</v>
      </c>
      <c r="C49" s="26" t="str">
        <f>IFERROR(__xludf.DUMMYFUNCTION("""COMPUTED_VALUE"""),"Consumer")</f>
        <v>Consumer</v>
      </c>
      <c r="D49" s="26" t="str">
        <f>IFERROR(__xludf.DUMMYFUNCTION("""COMPUTED_VALUE"""),"Arizona")</f>
        <v>Arizona</v>
      </c>
      <c r="E49" s="26" t="str">
        <f>IFERROR(__xludf.DUMMYFUNCTION("""COMPUTED_VALUE"""),"West")</f>
        <v>West</v>
      </c>
      <c r="F49" s="26">
        <f>IFERROR(__xludf.DUMMYFUNCTION("""COMPUTED_VALUE"""),121.376)</f>
        <v>121.376</v>
      </c>
      <c r="G49" s="26">
        <f>IFERROR(__xludf.DUMMYFUNCTION("""COMPUTED_VALUE"""),4.0)</f>
        <v>4</v>
      </c>
      <c r="H49" s="26">
        <f>IFERROR(__xludf.DUMMYFUNCTION("""COMPUTED_VALUE"""),-3.0344)</f>
        <v>-3.0344</v>
      </c>
    </row>
    <row r="50">
      <c r="A50" s="26" t="str">
        <f>IFERROR(__xludf.DUMMYFUNCTION("""COMPUTED_VALUE"""),"CA-2014-111059")</f>
        <v>CA-2014-111059</v>
      </c>
      <c r="B50" s="27">
        <f>IFERROR(__xludf.DUMMYFUNCTION("""COMPUTED_VALUE"""),41673.0)</f>
        <v>41673</v>
      </c>
      <c r="C50" s="26" t="str">
        <f>IFERROR(__xludf.DUMMYFUNCTION("""COMPUTED_VALUE"""),"Consumer")</f>
        <v>Consumer</v>
      </c>
      <c r="D50" s="26" t="str">
        <f>IFERROR(__xludf.DUMMYFUNCTION("""COMPUTED_VALUE"""),"Washington")</f>
        <v>Washington</v>
      </c>
      <c r="E50" s="26" t="str">
        <f>IFERROR(__xludf.DUMMYFUNCTION("""COMPUTED_VALUE"""),"West")</f>
        <v>West</v>
      </c>
      <c r="F50" s="26">
        <f>IFERROR(__xludf.DUMMYFUNCTION("""COMPUTED_VALUE"""),83.84)</f>
        <v>83.84</v>
      </c>
      <c r="G50" s="26">
        <f>IFERROR(__xludf.DUMMYFUNCTION("""COMPUTED_VALUE"""),2.0)</f>
        <v>2</v>
      </c>
      <c r="H50" s="26">
        <f>IFERROR(__xludf.DUMMYFUNCTION("""COMPUTED_VALUE"""),27.248)</f>
        <v>27.248</v>
      </c>
    </row>
    <row r="51">
      <c r="A51" s="26" t="str">
        <f>IFERROR(__xludf.DUMMYFUNCTION("""COMPUTED_VALUE"""),"CA-2014-107181")</f>
        <v>CA-2014-107181</v>
      </c>
      <c r="B51" s="27">
        <f>IFERROR(__xludf.DUMMYFUNCTION("""COMPUTED_VALUE"""),41674.0)</f>
        <v>41674</v>
      </c>
      <c r="C51" s="26" t="str">
        <f>IFERROR(__xludf.DUMMYFUNCTION("""COMPUTED_VALUE"""),"Home Office")</f>
        <v>Home Office</v>
      </c>
      <c r="D51" s="26" t="str">
        <f>IFERROR(__xludf.DUMMYFUNCTION("""COMPUTED_VALUE"""),"California")</f>
        <v>California</v>
      </c>
      <c r="E51" s="26" t="str">
        <f>IFERROR(__xludf.DUMMYFUNCTION("""COMPUTED_VALUE"""),"West")</f>
        <v>West</v>
      </c>
      <c r="F51" s="26">
        <f>IFERROR(__xludf.DUMMYFUNCTION("""COMPUTED_VALUE"""),82.896)</f>
        <v>82.896</v>
      </c>
      <c r="G51" s="26">
        <f>IFERROR(__xludf.DUMMYFUNCTION("""COMPUTED_VALUE"""),3.0)</f>
        <v>3</v>
      </c>
      <c r="H51" s="26">
        <f>IFERROR(__xludf.DUMMYFUNCTION("""COMPUTED_VALUE"""),29.0136)</f>
        <v>29.0136</v>
      </c>
    </row>
    <row r="52">
      <c r="A52" s="26" t="str">
        <f>IFERROR(__xludf.DUMMYFUNCTION("""COMPUTED_VALUE"""),"CA-2014-105172")</f>
        <v>CA-2014-105172</v>
      </c>
      <c r="B52" s="27">
        <f>IFERROR(__xludf.DUMMYFUNCTION("""COMPUTED_VALUE"""),41733.0)</f>
        <v>41733</v>
      </c>
      <c r="C52" s="26" t="str">
        <f>IFERROR(__xludf.DUMMYFUNCTION("""COMPUTED_VALUE"""),"Home Office")</f>
        <v>Home Office</v>
      </c>
      <c r="D52" s="26" t="str">
        <f>IFERROR(__xludf.DUMMYFUNCTION("""COMPUTED_VALUE"""),"California")</f>
        <v>California</v>
      </c>
      <c r="E52" s="26" t="str">
        <f>IFERROR(__xludf.DUMMYFUNCTION("""COMPUTED_VALUE"""),"West")</f>
        <v>West</v>
      </c>
      <c r="F52" s="26">
        <f>IFERROR(__xludf.DUMMYFUNCTION("""COMPUTED_VALUE"""),18.9)</f>
        <v>18.9</v>
      </c>
      <c r="G52" s="26">
        <f>IFERROR(__xludf.DUMMYFUNCTION("""COMPUTED_VALUE"""),6.0)</f>
        <v>6</v>
      </c>
      <c r="H52" s="26">
        <f>IFERROR(__xludf.DUMMYFUNCTION("""COMPUTED_VALUE"""),9.072)</f>
        <v>9.072</v>
      </c>
    </row>
    <row r="53">
      <c r="A53" s="26" t="str">
        <f>IFERROR(__xludf.DUMMYFUNCTION("""COMPUTED_VALUE"""),"US-2014-157385")</f>
        <v>US-2014-157385</v>
      </c>
      <c r="B53" s="29">
        <f>IFERROR(__xludf.DUMMYFUNCTION("""COMPUTED_VALUE"""),41966.0)</f>
        <v>41966</v>
      </c>
      <c r="C53" s="26" t="str">
        <f>IFERROR(__xludf.DUMMYFUNCTION("""COMPUTED_VALUE"""),"Consumer")</f>
        <v>Consumer</v>
      </c>
      <c r="D53" s="26" t="str">
        <f>IFERROR(__xludf.DUMMYFUNCTION("""COMPUTED_VALUE"""),"California")</f>
        <v>California</v>
      </c>
      <c r="E53" s="26" t="str">
        <f>IFERROR(__xludf.DUMMYFUNCTION("""COMPUTED_VALUE"""),"West")</f>
        <v>West</v>
      </c>
      <c r="F53" s="26">
        <f>IFERROR(__xludf.DUMMYFUNCTION("""COMPUTED_VALUE"""),603.92)</f>
        <v>603.92</v>
      </c>
      <c r="G53" s="26">
        <f>IFERROR(__xludf.DUMMYFUNCTION("""COMPUTED_VALUE"""),5.0)</f>
        <v>5</v>
      </c>
      <c r="H53" s="26">
        <f>IFERROR(__xludf.DUMMYFUNCTION("""COMPUTED_VALUE"""),-67.941)</f>
        <v>-67.941</v>
      </c>
    </row>
    <row r="54">
      <c r="A54" s="26" t="str">
        <f>IFERROR(__xludf.DUMMYFUNCTION("""COMPUTED_VALUE"""),"CA-2014-117317")</f>
        <v>CA-2014-117317</v>
      </c>
      <c r="B54" s="29">
        <f>IFERROR(__xludf.DUMMYFUNCTION("""COMPUTED_VALUE"""),41931.0)</f>
        <v>41931</v>
      </c>
      <c r="C54" s="26" t="str">
        <f>IFERROR(__xludf.DUMMYFUNCTION("""COMPUTED_VALUE"""),"Consumer")</f>
        <v>Consumer</v>
      </c>
      <c r="D54" s="26" t="str">
        <f>IFERROR(__xludf.DUMMYFUNCTION("""COMPUTED_VALUE"""),"California")</f>
        <v>California</v>
      </c>
      <c r="E54" s="26" t="str">
        <f>IFERROR(__xludf.DUMMYFUNCTION("""COMPUTED_VALUE"""),"West")</f>
        <v>West</v>
      </c>
      <c r="F54" s="26">
        <f>IFERROR(__xludf.DUMMYFUNCTION("""COMPUTED_VALUE"""),13.44)</f>
        <v>13.44</v>
      </c>
      <c r="G54" s="26">
        <f>IFERROR(__xludf.DUMMYFUNCTION("""COMPUTED_VALUE"""),3.0)</f>
        <v>3</v>
      </c>
      <c r="H54" s="26">
        <f>IFERROR(__xludf.DUMMYFUNCTION("""COMPUTED_VALUE"""),6.5856)</f>
        <v>6.5856</v>
      </c>
    </row>
    <row r="55">
      <c r="A55" s="26" t="str">
        <f>IFERROR(__xludf.DUMMYFUNCTION("""COMPUTED_VALUE"""),"CA-2014-156349")</f>
        <v>CA-2014-156349</v>
      </c>
      <c r="B55" s="27">
        <f>IFERROR(__xludf.DUMMYFUNCTION("""COMPUTED_VALUE"""),41785.0)</f>
        <v>41785</v>
      </c>
      <c r="C55" s="26" t="str">
        <f>IFERROR(__xludf.DUMMYFUNCTION("""COMPUTED_VALUE"""),"Corporate")</f>
        <v>Corporate</v>
      </c>
      <c r="D55" s="26" t="str">
        <f>IFERROR(__xludf.DUMMYFUNCTION("""COMPUTED_VALUE"""),"California")</f>
        <v>California</v>
      </c>
      <c r="E55" s="26" t="str">
        <f>IFERROR(__xludf.DUMMYFUNCTION("""COMPUTED_VALUE"""),"West")</f>
        <v>West</v>
      </c>
      <c r="F55" s="26">
        <f>IFERROR(__xludf.DUMMYFUNCTION("""COMPUTED_VALUE"""),290.666)</f>
        <v>290.666</v>
      </c>
      <c r="G55" s="26">
        <f>IFERROR(__xludf.DUMMYFUNCTION("""COMPUTED_VALUE"""),2.0)</f>
        <v>2</v>
      </c>
      <c r="H55" s="26">
        <f>IFERROR(__xludf.DUMMYFUNCTION("""COMPUTED_VALUE"""),27.3568)</f>
        <v>27.3568</v>
      </c>
    </row>
    <row r="56">
      <c r="A56" s="26" t="str">
        <f>IFERROR(__xludf.DUMMYFUNCTION("""COMPUTED_VALUE"""),"CA-2014-168984")</f>
        <v>CA-2014-168984</v>
      </c>
      <c r="B56" s="29">
        <f>IFERROR(__xludf.DUMMYFUNCTION("""COMPUTED_VALUE"""),41969.0)</f>
        <v>41969</v>
      </c>
      <c r="C56" s="26" t="str">
        <f>IFERROR(__xludf.DUMMYFUNCTION("""COMPUTED_VALUE"""),"Consumer")</f>
        <v>Consumer</v>
      </c>
      <c r="D56" s="26" t="str">
        <f>IFERROR(__xludf.DUMMYFUNCTION("""COMPUTED_VALUE"""),"Oregon")</f>
        <v>Oregon</v>
      </c>
      <c r="E56" s="26" t="str">
        <f>IFERROR(__xludf.DUMMYFUNCTION("""COMPUTED_VALUE"""),"West")</f>
        <v>West</v>
      </c>
      <c r="F56" s="26">
        <f>IFERROR(__xludf.DUMMYFUNCTION("""COMPUTED_VALUE"""),15.552)</f>
        <v>15.552</v>
      </c>
      <c r="G56" s="26">
        <f>IFERROR(__xludf.DUMMYFUNCTION("""COMPUTED_VALUE"""),3.0)</f>
        <v>3</v>
      </c>
      <c r="H56" s="26">
        <f>IFERROR(__xludf.DUMMYFUNCTION("""COMPUTED_VALUE"""),5.4432)</f>
        <v>5.4432</v>
      </c>
    </row>
    <row r="57">
      <c r="A57" s="26" t="str">
        <f>IFERROR(__xludf.DUMMYFUNCTION("""COMPUTED_VALUE"""),"CA-2014-135699")</f>
        <v>CA-2014-135699</v>
      </c>
      <c r="B57" s="27">
        <f>IFERROR(__xludf.DUMMYFUNCTION("""COMPUTED_VALUE"""),41880.0)</f>
        <v>41880</v>
      </c>
      <c r="C57" s="26" t="str">
        <f>IFERROR(__xludf.DUMMYFUNCTION("""COMPUTED_VALUE"""),"Corporate")</f>
        <v>Corporate</v>
      </c>
      <c r="D57" s="26" t="str">
        <f>IFERROR(__xludf.DUMMYFUNCTION("""COMPUTED_VALUE"""),"California")</f>
        <v>California</v>
      </c>
      <c r="E57" s="26" t="str">
        <f>IFERROR(__xludf.DUMMYFUNCTION("""COMPUTED_VALUE"""),"West")</f>
        <v>West</v>
      </c>
      <c r="F57" s="26">
        <f>IFERROR(__xludf.DUMMYFUNCTION("""COMPUTED_VALUE"""),109.92)</f>
        <v>109.92</v>
      </c>
      <c r="G57" s="26">
        <f>IFERROR(__xludf.DUMMYFUNCTION("""COMPUTED_VALUE"""),2.0)</f>
        <v>2</v>
      </c>
      <c r="H57" s="26">
        <f>IFERROR(__xludf.DUMMYFUNCTION("""COMPUTED_VALUE"""),53.8608)</f>
        <v>53.8608</v>
      </c>
    </row>
    <row r="58">
      <c r="A58" s="26" t="str">
        <f>IFERROR(__xludf.DUMMYFUNCTION("""COMPUTED_VALUE"""),"CA-2014-135657")</f>
        <v>CA-2014-135657</v>
      </c>
      <c r="B58" s="27">
        <f>IFERROR(__xludf.DUMMYFUNCTION("""COMPUTED_VALUE"""),41793.0)</f>
        <v>41793</v>
      </c>
      <c r="C58" s="26" t="str">
        <f>IFERROR(__xludf.DUMMYFUNCTION("""COMPUTED_VALUE"""),"Consumer")</f>
        <v>Consumer</v>
      </c>
      <c r="D58" s="26" t="str">
        <f>IFERROR(__xludf.DUMMYFUNCTION("""COMPUTED_VALUE"""),"Washington")</f>
        <v>Washington</v>
      </c>
      <c r="E58" s="26" t="str">
        <f>IFERROR(__xludf.DUMMYFUNCTION("""COMPUTED_VALUE"""),"West")</f>
        <v>West</v>
      </c>
      <c r="F58" s="26">
        <f>IFERROR(__xludf.DUMMYFUNCTION("""COMPUTED_VALUE"""),515.88)</f>
        <v>515.88</v>
      </c>
      <c r="G58" s="26">
        <f>IFERROR(__xludf.DUMMYFUNCTION("""COMPUTED_VALUE"""),6.0)</f>
        <v>6</v>
      </c>
      <c r="H58" s="26">
        <f>IFERROR(__xludf.DUMMYFUNCTION("""COMPUTED_VALUE"""),113.4936)</f>
        <v>113.4936</v>
      </c>
    </row>
    <row r="59">
      <c r="A59" s="26" t="str">
        <f>IFERROR(__xludf.DUMMYFUNCTION("""COMPUTED_VALUE"""),"CA-2014-139857")</f>
        <v>CA-2014-139857</v>
      </c>
      <c r="B59" s="27">
        <f>IFERROR(__xludf.DUMMYFUNCTION("""COMPUTED_VALUE"""),41672.0)</f>
        <v>41672</v>
      </c>
      <c r="C59" s="26" t="str">
        <f>IFERROR(__xludf.DUMMYFUNCTION("""COMPUTED_VALUE"""),"Home Office")</f>
        <v>Home Office</v>
      </c>
      <c r="D59" s="26" t="str">
        <f>IFERROR(__xludf.DUMMYFUNCTION("""COMPUTED_VALUE"""),"California")</f>
        <v>California</v>
      </c>
      <c r="E59" s="26" t="str">
        <f>IFERROR(__xludf.DUMMYFUNCTION("""COMPUTED_VALUE"""),"West")</f>
        <v>West</v>
      </c>
      <c r="F59" s="26">
        <f>IFERROR(__xludf.DUMMYFUNCTION("""COMPUTED_VALUE"""),12.35)</f>
        <v>12.35</v>
      </c>
      <c r="G59" s="26">
        <f>IFERROR(__xludf.DUMMYFUNCTION("""COMPUTED_VALUE"""),5.0)</f>
        <v>5</v>
      </c>
      <c r="H59" s="26">
        <f>IFERROR(__xludf.DUMMYFUNCTION("""COMPUTED_VALUE"""),5.8045)</f>
        <v>5.8045</v>
      </c>
    </row>
    <row r="60">
      <c r="A60" s="26" t="str">
        <f>IFERROR(__xludf.DUMMYFUNCTION("""COMPUTED_VALUE"""),"CA-2014-110527")</f>
        <v>CA-2014-110527</v>
      </c>
      <c r="B60" s="27">
        <f>IFERROR(__xludf.DUMMYFUNCTION("""COMPUTED_VALUE"""),41860.0)</f>
        <v>41860</v>
      </c>
      <c r="C60" s="26" t="str">
        <f>IFERROR(__xludf.DUMMYFUNCTION("""COMPUTED_VALUE"""),"Home Office")</f>
        <v>Home Office</v>
      </c>
      <c r="D60" s="26" t="str">
        <f>IFERROR(__xludf.DUMMYFUNCTION("""COMPUTED_VALUE"""),"California")</f>
        <v>California</v>
      </c>
      <c r="E60" s="26" t="str">
        <f>IFERROR(__xludf.DUMMYFUNCTION("""COMPUTED_VALUE"""),"West")</f>
        <v>West</v>
      </c>
      <c r="F60" s="26">
        <f>IFERROR(__xludf.DUMMYFUNCTION("""COMPUTED_VALUE"""),20.88)</f>
        <v>20.88</v>
      </c>
      <c r="G60" s="26">
        <f>IFERROR(__xludf.DUMMYFUNCTION("""COMPUTED_VALUE"""),8.0)</f>
        <v>8</v>
      </c>
      <c r="H60" s="26">
        <f>IFERROR(__xludf.DUMMYFUNCTION("""COMPUTED_VALUE"""),9.6048)</f>
        <v>9.6048</v>
      </c>
    </row>
    <row r="61">
      <c r="A61" s="26" t="str">
        <f>IFERROR(__xludf.DUMMYFUNCTION("""COMPUTED_VALUE"""),"CA-2014-114643")</f>
        <v>CA-2014-114643</v>
      </c>
      <c r="B61" s="27">
        <f>IFERROR(__xludf.DUMMYFUNCTION("""COMPUTED_VALUE"""),41803.0)</f>
        <v>41803</v>
      </c>
      <c r="C61" s="26" t="str">
        <f>IFERROR(__xludf.DUMMYFUNCTION("""COMPUTED_VALUE"""),"Corporate")</f>
        <v>Corporate</v>
      </c>
      <c r="D61" s="26" t="str">
        <f>IFERROR(__xludf.DUMMYFUNCTION("""COMPUTED_VALUE"""),"California")</f>
        <v>California</v>
      </c>
      <c r="E61" s="26" t="str">
        <f>IFERROR(__xludf.DUMMYFUNCTION("""COMPUTED_VALUE"""),"West")</f>
        <v>West</v>
      </c>
      <c r="F61" s="26">
        <f>IFERROR(__xludf.DUMMYFUNCTION("""COMPUTED_VALUE"""),14.52)</f>
        <v>14.52</v>
      </c>
      <c r="G61" s="26">
        <f>IFERROR(__xludf.DUMMYFUNCTION("""COMPUTED_VALUE"""),3.0)</f>
        <v>3</v>
      </c>
      <c r="H61" s="26">
        <f>IFERROR(__xludf.DUMMYFUNCTION("""COMPUTED_VALUE"""),4.7916)</f>
        <v>4.7916</v>
      </c>
    </row>
    <row r="62">
      <c r="A62" s="26" t="str">
        <f>IFERROR(__xludf.DUMMYFUNCTION("""COMPUTED_VALUE"""),"CA-2014-116932")</f>
        <v>CA-2014-116932</v>
      </c>
      <c r="B62" s="27">
        <f>IFERROR(__xludf.DUMMYFUNCTION("""COMPUTED_VALUE"""),41841.0)</f>
        <v>41841</v>
      </c>
      <c r="C62" s="26" t="str">
        <f>IFERROR(__xludf.DUMMYFUNCTION("""COMPUTED_VALUE"""),"Corporate")</f>
        <v>Corporate</v>
      </c>
      <c r="D62" s="26" t="str">
        <f>IFERROR(__xludf.DUMMYFUNCTION("""COMPUTED_VALUE"""),"California")</f>
        <v>California</v>
      </c>
      <c r="E62" s="26" t="str">
        <f>IFERROR(__xludf.DUMMYFUNCTION("""COMPUTED_VALUE"""),"West")</f>
        <v>West</v>
      </c>
      <c r="F62" s="26">
        <f>IFERROR(__xludf.DUMMYFUNCTION("""COMPUTED_VALUE"""),99.2)</f>
        <v>99.2</v>
      </c>
      <c r="G62" s="26">
        <f>IFERROR(__xludf.DUMMYFUNCTION("""COMPUTED_VALUE"""),5.0)</f>
        <v>5</v>
      </c>
      <c r="H62" s="26">
        <f>IFERROR(__xludf.DUMMYFUNCTION("""COMPUTED_VALUE"""),25.792)</f>
        <v>25.792</v>
      </c>
    </row>
    <row r="63">
      <c r="A63" s="26" t="str">
        <f>IFERROR(__xludf.DUMMYFUNCTION("""COMPUTED_VALUE"""),"CA-2014-157623")</f>
        <v>CA-2014-157623</v>
      </c>
      <c r="B63" s="27">
        <f>IFERROR(__xludf.DUMMYFUNCTION("""COMPUTED_VALUE"""),41712.0)</f>
        <v>41712</v>
      </c>
      <c r="C63" s="26" t="str">
        <f>IFERROR(__xludf.DUMMYFUNCTION("""COMPUTED_VALUE"""),"Corporate")</f>
        <v>Corporate</v>
      </c>
      <c r="D63" s="26" t="str">
        <f>IFERROR(__xludf.DUMMYFUNCTION("""COMPUTED_VALUE"""),"California")</f>
        <v>California</v>
      </c>
      <c r="E63" s="26" t="str">
        <f>IFERROR(__xludf.DUMMYFUNCTION("""COMPUTED_VALUE"""),"West")</f>
        <v>West</v>
      </c>
      <c r="F63" s="26">
        <f>IFERROR(__xludf.DUMMYFUNCTION("""COMPUTED_VALUE"""),10.56)</f>
        <v>10.56</v>
      </c>
      <c r="G63" s="26">
        <f>IFERROR(__xludf.DUMMYFUNCTION("""COMPUTED_VALUE"""),2.0)</f>
        <v>2</v>
      </c>
      <c r="H63" s="26">
        <f>IFERROR(__xludf.DUMMYFUNCTION("""COMPUTED_VALUE"""),4.752)</f>
        <v>4.752</v>
      </c>
    </row>
    <row r="64">
      <c r="A64" s="26" t="str">
        <f>IFERROR(__xludf.DUMMYFUNCTION("""COMPUTED_VALUE"""),"CA-2014-164721")</f>
        <v>CA-2014-164721</v>
      </c>
      <c r="B64" s="29">
        <f>IFERROR(__xludf.DUMMYFUNCTION("""COMPUTED_VALUE"""),41968.0)</f>
        <v>41968</v>
      </c>
      <c r="C64" s="26" t="str">
        <f>IFERROR(__xludf.DUMMYFUNCTION("""COMPUTED_VALUE"""),"Corporate")</f>
        <v>Corporate</v>
      </c>
      <c r="D64" s="26" t="str">
        <f>IFERROR(__xludf.DUMMYFUNCTION("""COMPUTED_VALUE"""),"California")</f>
        <v>California</v>
      </c>
      <c r="E64" s="26" t="str">
        <f>IFERROR(__xludf.DUMMYFUNCTION("""COMPUTED_VALUE"""),"West")</f>
        <v>West</v>
      </c>
      <c r="F64" s="26">
        <f>IFERROR(__xludf.DUMMYFUNCTION("""COMPUTED_VALUE"""),320.88)</f>
        <v>320.88</v>
      </c>
      <c r="G64" s="26">
        <f>IFERROR(__xludf.DUMMYFUNCTION("""COMPUTED_VALUE"""),6.0)</f>
        <v>6</v>
      </c>
      <c r="H64" s="26">
        <f>IFERROR(__xludf.DUMMYFUNCTION("""COMPUTED_VALUE"""),93.0552)</f>
        <v>93.0552</v>
      </c>
    </row>
    <row r="65">
      <c r="A65" s="26" t="str">
        <f>IFERROR(__xludf.DUMMYFUNCTION("""COMPUTED_VALUE"""),"CA-2014-106439")</f>
        <v>CA-2014-106439</v>
      </c>
      <c r="B65" s="29">
        <f>IFERROR(__xludf.DUMMYFUNCTION("""COMPUTED_VALUE"""),41943.0)</f>
        <v>41943</v>
      </c>
      <c r="C65" s="26" t="str">
        <f>IFERROR(__xludf.DUMMYFUNCTION("""COMPUTED_VALUE"""),"Corporate")</f>
        <v>Corporate</v>
      </c>
      <c r="D65" s="26" t="str">
        <f>IFERROR(__xludf.DUMMYFUNCTION("""COMPUTED_VALUE"""),"California")</f>
        <v>California</v>
      </c>
      <c r="E65" s="26" t="str">
        <f>IFERROR(__xludf.DUMMYFUNCTION("""COMPUTED_VALUE"""),"West")</f>
        <v>West</v>
      </c>
      <c r="F65" s="26">
        <f>IFERROR(__xludf.DUMMYFUNCTION("""COMPUTED_VALUE"""),11.34)</f>
        <v>11.34</v>
      </c>
      <c r="G65" s="26">
        <f>IFERROR(__xludf.DUMMYFUNCTION("""COMPUTED_VALUE"""),3.0)</f>
        <v>3</v>
      </c>
      <c r="H65" s="26">
        <f>IFERROR(__xludf.DUMMYFUNCTION("""COMPUTED_VALUE"""),5.2164)</f>
        <v>5.2164</v>
      </c>
    </row>
    <row r="66">
      <c r="A66" s="26" t="str">
        <f>IFERROR(__xludf.DUMMYFUNCTION("""COMPUTED_VALUE"""),"CA-2014-131051")</f>
        <v>CA-2014-131051</v>
      </c>
      <c r="B66" s="27">
        <f>IFERROR(__xludf.DUMMYFUNCTION("""COMPUTED_VALUE"""),41974.0)</f>
        <v>41974</v>
      </c>
      <c r="C66" s="26" t="str">
        <f>IFERROR(__xludf.DUMMYFUNCTION("""COMPUTED_VALUE"""),"Consumer")</f>
        <v>Consumer</v>
      </c>
      <c r="D66" s="26" t="str">
        <f>IFERROR(__xludf.DUMMYFUNCTION("""COMPUTED_VALUE"""),"California")</f>
        <v>California</v>
      </c>
      <c r="E66" s="26" t="str">
        <f>IFERROR(__xludf.DUMMYFUNCTION("""COMPUTED_VALUE"""),"West")</f>
        <v>West</v>
      </c>
      <c r="F66" s="26">
        <f>IFERROR(__xludf.DUMMYFUNCTION("""COMPUTED_VALUE"""),58.2)</f>
        <v>58.2</v>
      </c>
      <c r="G66" s="26">
        <f>IFERROR(__xludf.DUMMYFUNCTION("""COMPUTED_VALUE"""),3.0)</f>
        <v>3</v>
      </c>
      <c r="H66" s="26">
        <f>IFERROR(__xludf.DUMMYFUNCTION("""COMPUTED_VALUE"""),28.518)</f>
        <v>28.518</v>
      </c>
    </row>
    <row r="67">
      <c r="A67" s="26" t="str">
        <f>IFERROR(__xludf.DUMMYFUNCTION("""COMPUTED_VALUE"""),"US-2014-140116")</f>
        <v>US-2014-140116</v>
      </c>
      <c r="B67" s="27">
        <f>IFERROR(__xludf.DUMMYFUNCTION("""COMPUTED_VALUE"""),41708.0)</f>
        <v>41708</v>
      </c>
      <c r="C67" s="26" t="str">
        <f>IFERROR(__xludf.DUMMYFUNCTION("""COMPUTED_VALUE"""),"Consumer")</f>
        <v>Consumer</v>
      </c>
      <c r="D67" s="26" t="str">
        <f>IFERROR(__xludf.DUMMYFUNCTION("""COMPUTED_VALUE"""),"Colorado")</f>
        <v>Colorado</v>
      </c>
      <c r="E67" s="26" t="str">
        <f>IFERROR(__xludf.DUMMYFUNCTION("""COMPUTED_VALUE"""),"West")</f>
        <v>West</v>
      </c>
      <c r="F67" s="26">
        <f>IFERROR(__xludf.DUMMYFUNCTION("""COMPUTED_VALUE"""),636.408)</f>
        <v>636.408</v>
      </c>
      <c r="G67" s="26">
        <f>IFERROR(__xludf.DUMMYFUNCTION("""COMPUTED_VALUE"""),3.0)</f>
        <v>3</v>
      </c>
      <c r="H67" s="26">
        <f>IFERROR(__xludf.DUMMYFUNCTION("""COMPUTED_VALUE"""),-15.9102)</f>
        <v>-15.9102</v>
      </c>
    </row>
    <row r="68">
      <c r="A68" s="26" t="str">
        <f>IFERROR(__xludf.DUMMYFUNCTION("""COMPUTED_VALUE"""),"CA-2014-123295")</f>
        <v>CA-2014-123295</v>
      </c>
      <c r="B68" s="27">
        <f>IFERROR(__xludf.DUMMYFUNCTION("""COMPUTED_VALUE"""),41838.0)</f>
        <v>41838</v>
      </c>
      <c r="C68" s="26" t="str">
        <f>IFERROR(__xludf.DUMMYFUNCTION("""COMPUTED_VALUE"""),"Home Office")</f>
        <v>Home Office</v>
      </c>
      <c r="D68" s="26" t="str">
        <f>IFERROR(__xludf.DUMMYFUNCTION("""COMPUTED_VALUE"""),"Arizona")</f>
        <v>Arizona</v>
      </c>
      <c r="E68" s="26" t="str">
        <f>IFERROR(__xludf.DUMMYFUNCTION("""COMPUTED_VALUE"""),"West")</f>
        <v>West</v>
      </c>
      <c r="F68" s="26">
        <f>IFERROR(__xludf.DUMMYFUNCTION("""COMPUTED_VALUE"""),259.136)</f>
        <v>259.136</v>
      </c>
      <c r="G68" s="26">
        <f>IFERROR(__xludf.DUMMYFUNCTION("""COMPUTED_VALUE"""),4.0)</f>
        <v>4</v>
      </c>
      <c r="H68" s="26">
        <f>IFERROR(__xludf.DUMMYFUNCTION("""COMPUTED_VALUE"""),-25.9136)</f>
        <v>-25.9136</v>
      </c>
    </row>
    <row r="69">
      <c r="A69" s="26" t="str">
        <f>IFERROR(__xludf.DUMMYFUNCTION("""COMPUTED_VALUE"""),"CA-2014-141607")</f>
        <v>CA-2014-141607</v>
      </c>
      <c r="B69" s="29">
        <f>IFERROR(__xludf.DUMMYFUNCTION("""COMPUTED_VALUE"""),41985.0)</f>
        <v>41985</v>
      </c>
      <c r="C69" s="26" t="str">
        <f>IFERROR(__xludf.DUMMYFUNCTION("""COMPUTED_VALUE"""),"Consumer")</f>
        <v>Consumer</v>
      </c>
      <c r="D69" s="26" t="str">
        <f>IFERROR(__xludf.DUMMYFUNCTION("""COMPUTED_VALUE"""),"California")</f>
        <v>California</v>
      </c>
      <c r="E69" s="26" t="str">
        <f>IFERROR(__xludf.DUMMYFUNCTION("""COMPUTED_VALUE"""),"West")</f>
        <v>West</v>
      </c>
      <c r="F69" s="26">
        <f>IFERROR(__xludf.DUMMYFUNCTION("""COMPUTED_VALUE"""),43.31)</f>
        <v>43.31</v>
      </c>
      <c r="G69" s="26">
        <f>IFERROR(__xludf.DUMMYFUNCTION("""COMPUTED_VALUE"""),1.0)</f>
        <v>1</v>
      </c>
      <c r="H69" s="26">
        <f>IFERROR(__xludf.DUMMYFUNCTION("""COMPUTED_VALUE"""),4.331)</f>
        <v>4.331</v>
      </c>
    </row>
    <row r="70">
      <c r="A70" s="26" t="str">
        <f>IFERROR(__xludf.DUMMYFUNCTION("""COMPUTED_VALUE"""),"CA-2014-152296")</f>
        <v>CA-2014-152296</v>
      </c>
      <c r="B70" s="27">
        <f>IFERROR(__xludf.DUMMYFUNCTION("""COMPUTED_VALUE"""),41852.0)</f>
        <v>41852</v>
      </c>
      <c r="C70" s="26" t="str">
        <f>IFERROR(__xludf.DUMMYFUNCTION("""COMPUTED_VALUE"""),"Consumer")</f>
        <v>Consumer</v>
      </c>
      <c r="D70" s="26" t="str">
        <f>IFERROR(__xludf.DUMMYFUNCTION("""COMPUTED_VALUE"""),"California")</f>
        <v>California</v>
      </c>
      <c r="E70" s="26" t="str">
        <f>IFERROR(__xludf.DUMMYFUNCTION("""COMPUTED_VALUE"""),"West")</f>
        <v>West</v>
      </c>
      <c r="F70" s="26">
        <f>IFERROR(__xludf.DUMMYFUNCTION("""COMPUTED_VALUE"""),19.752)</f>
        <v>19.752</v>
      </c>
      <c r="G70" s="26">
        <f>IFERROR(__xludf.DUMMYFUNCTION("""COMPUTED_VALUE"""),3.0)</f>
        <v>3</v>
      </c>
      <c r="H70" s="26">
        <f>IFERROR(__xludf.DUMMYFUNCTION("""COMPUTED_VALUE"""),6.9132)</f>
        <v>6.9132</v>
      </c>
    </row>
    <row r="71">
      <c r="A71" s="26" t="str">
        <f>IFERROR(__xludf.DUMMYFUNCTION("""COMPUTED_VALUE"""),"CA-2014-128055")</f>
        <v>CA-2014-128055</v>
      </c>
      <c r="B71" s="27">
        <f>IFERROR(__xludf.DUMMYFUNCTION("""COMPUTED_VALUE"""),41729.0)</f>
        <v>41729</v>
      </c>
      <c r="C71" s="26" t="str">
        <f>IFERROR(__xludf.DUMMYFUNCTION("""COMPUTED_VALUE"""),"Consumer")</f>
        <v>Consumer</v>
      </c>
      <c r="D71" s="26" t="str">
        <f>IFERROR(__xludf.DUMMYFUNCTION("""COMPUTED_VALUE"""),"California")</f>
        <v>California</v>
      </c>
      <c r="E71" s="26" t="str">
        <f>IFERROR(__xludf.DUMMYFUNCTION("""COMPUTED_VALUE"""),"West")</f>
        <v>West</v>
      </c>
      <c r="F71" s="26">
        <f>IFERROR(__xludf.DUMMYFUNCTION("""COMPUTED_VALUE"""),673.568)</f>
        <v>673.568</v>
      </c>
      <c r="G71" s="26">
        <f>IFERROR(__xludf.DUMMYFUNCTION("""COMPUTED_VALUE"""),2.0)</f>
        <v>2</v>
      </c>
      <c r="H71" s="26">
        <f>IFERROR(__xludf.DUMMYFUNCTION("""COMPUTED_VALUE"""),252.588)</f>
        <v>252.588</v>
      </c>
    </row>
    <row r="72">
      <c r="A72" s="26" t="str">
        <f>IFERROR(__xludf.DUMMYFUNCTION("""COMPUTED_VALUE"""),"CA-2014-157882")</f>
        <v>CA-2014-157882</v>
      </c>
      <c r="B72" s="27">
        <f>IFERROR(__xludf.DUMMYFUNCTION("""COMPUTED_VALUE"""),41915.0)</f>
        <v>41915</v>
      </c>
      <c r="C72" s="26" t="str">
        <f>IFERROR(__xludf.DUMMYFUNCTION("""COMPUTED_VALUE"""),"Corporate")</f>
        <v>Corporate</v>
      </c>
      <c r="D72" s="26" t="str">
        <f>IFERROR(__xludf.DUMMYFUNCTION("""COMPUTED_VALUE"""),"California")</f>
        <v>California</v>
      </c>
      <c r="E72" s="26" t="str">
        <f>IFERROR(__xludf.DUMMYFUNCTION("""COMPUTED_VALUE"""),"West")</f>
        <v>West</v>
      </c>
      <c r="F72" s="26">
        <f>IFERROR(__xludf.DUMMYFUNCTION("""COMPUTED_VALUE"""),143.432)</f>
        <v>143.432</v>
      </c>
      <c r="G72" s="26">
        <f>IFERROR(__xludf.DUMMYFUNCTION("""COMPUTED_VALUE"""),1.0)</f>
        <v>1</v>
      </c>
      <c r="H72" s="26">
        <f>IFERROR(__xludf.DUMMYFUNCTION("""COMPUTED_VALUE"""),3.5858)</f>
        <v>3.5858</v>
      </c>
    </row>
    <row r="73">
      <c r="A73" s="26" t="str">
        <f>IFERROR(__xludf.DUMMYFUNCTION("""COMPUTED_VALUE"""),"CA-2014-102295")</f>
        <v>CA-2014-102295</v>
      </c>
      <c r="B73" s="29">
        <f>IFERROR(__xludf.DUMMYFUNCTION("""COMPUTED_VALUE"""),41967.0)</f>
        <v>41967</v>
      </c>
      <c r="C73" s="26" t="str">
        <f>IFERROR(__xludf.DUMMYFUNCTION("""COMPUTED_VALUE"""),"Consumer")</f>
        <v>Consumer</v>
      </c>
      <c r="D73" s="26" t="str">
        <f>IFERROR(__xludf.DUMMYFUNCTION("""COMPUTED_VALUE"""),"California")</f>
        <v>California</v>
      </c>
      <c r="E73" s="26" t="str">
        <f>IFERROR(__xludf.DUMMYFUNCTION("""COMPUTED_VALUE"""),"West")</f>
        <v>West</v>
      </c>
      <c r="F73" s="26">
        <f>IFERROR(__xludf.DUMMYFUNCTION("""COMPUTED_VALUE"""),120.712)</f>
        <v>120.712</v>
      </c>
      <c r="G73" s="26">
        <f>IFERROR(__xludf.DUMMYFUNCTION("""COMPUTED_VALUE"""),1.0)</f>
        <v>1</v>
      </c>
      <c r="H73" s="26">
        <f>IFERROR(__xludf.DUMMYFUNCTION("""COMPUTED_VALUE"""),-18.1068)</f>
        <v>-18.1068</v>
      </c>
    </row>
    <row r="74">
      <c r="A74" s="26" t="str">
        <f>IFERROR(__xludf.DUMMYFUNCTION("""COMPUTED_VALUE"""),"CA-2014-151295")</f>
        <v>CA-2014-151295</v>
      </c>
      <c r="B74" s="29">
        <f>IFERROR(__xludf.DUMMYFUNCTION("""COMPUTED_VALUE"""),41955.0)</f>
        <v>41955</v>
      </c>
      <c r="C74" s="26" t="str">
        <f>IFERROR(__xludf.DUMMYFUNCTION("""COMPUTED_VALUE"""),"Consumer")</f>
        <v>Consumer</v>
      </c>
      <c r="D74" s="26" t="str">
        <f>IFERROR(__xludf.DUMMYFUNCTION("""COMPUTED_VALUE"""),"California")</f>
        <v>California</v>
      </c>
      <c r="E74" s="26" t="str">
        <f>IFERROR(__xludf.DUMMYFUNCTION("""COMPUTED_VALUE"""),"West")</f>
        <v>West</v>
      </c>
      <c r="F74" s="26">
        <f>IFERROR(__xludf.DUMMYFUNCTION("""COMPUTED_VALUE"""),11.96)</f>
        <v>11.96</v>
      </c>
      <c r="G74" s="26">
        <f>IFERROR(__xludf.DUMMYFUNCTION("""COMPUTED_VALUE"""),2.0)</f>
        <v>2</v>
      </c>
      <c r="H74" s="26">
        <f>IFERROR(__xludf.DUMMYFUNCTION("""COMPUTED_VALUE"""),5.8604)</f>
        <v>5.8604</v>
      </c>
    </row>
    <row r="75">
      <c r="A75" s="26" t="str">
        <f>IFERROR(__xludf.DUMMYFUNCTION("""COMPUTED_VALUE"""),"CA-2014-164210")</f>
        <v>CA-2014-164210</v>
      </c>
      <c r="B75" s="29">
        <f>IFERROR(__xludf.DUMMYFUNCTION("""COMPUTED_VALUE"""),41961.0)</f>
        <v>41961</v>
      </c>
      <c r="C75" s="26" t="str">
        <f>IFERROR(__xludf.DUMMYFUNCTION("""COMPUTED_VALUE"""),"Consumer")</f>
        <v>Consumer</v>
      </c>
      <c r="D75" s="26" t="str">
        <f>IFERROR(__xludf.DUMMYFUNCTION("""COMPUTED_VALUE"""),"Colorado")</f>
        <v>Colorado</v>
      </c>
      <c r="E75" s="26" t="str">
        <f>IFERROR(__xludf.DUMMYFUNCTION("""COMPUTED_VALUE"""),"West")</f>
        <v>West</v>
      </c>
      <c r="F75" s="26">
        <f>IFERROR(__xludf.DUMMYFUNCTION("""COMPUTED_VALUE"""),145.98)</f>
        <v>145.98</v>
      </c>
      <c r="G75" s="26">
        <f>IFERROR(__xludf.DUMMYFUNCTION("""COMPUTED_VALUE"""),2.0)</f>
        <v>2</v>
      </c>
      <c r="H75" s="26">
        <f>IFERROR(__xludf.DUMMYFUNCTION("""COMPUTED_VALUE"""),-99.2664)</f>
        <v>-99.2664</v>
      </c>
    </row>
    <row r="76">
      <c r="A76" s="26" t="str">
        <f>IFERROR(__xludf.DUMMYFUNCTION("""COMPUTED_VALUE"""),"CA-2014-113579")</f>
        <v>CA-2014-113579</v>
      </c>
      <c r="B76" s="29">
        <f>IFERROR(__xludf.DUMMYFUNCTION("""COMPUTED_VALUE"""),41986.0)</f>
        <v>41986</v>
      </c>
      <c r="C76" s="26" t="str">
        <f>IFERROR(__xludf.DUMMYFUNCTION("""COMPUTED_VALUE"""),"Consumer")</f>
        <v>Consumer</v>
      </c>
      <c r="D76" s="26" t="str">
        <f>IFERROR(__xludf.DUMMYFUNCTION("""COMPUTED_VALUE"""),"California")</f>
        <v>California</v>
      </c>
      <c r="E76" s="26" t="str">
        <f>IFERROR(__xludf.DUMMYFUNCTION("""COMPUTED_VALUE"""),"West")</f>
        <v>West</v>
      </c>
      <c r="F76" s="26">
        <f>IFERROR(__xludf.DUMMYFUNCTION("""COMPUTED_VALUE"""),90.24)</f>
        <v>90.24</v>
      </c>
      <c r="G76" s="26">
        <f>IFERROR(__xludf.DUMMYFUNCTION("""COMPUTED_VALUE"""),6.0)</f>
        <v>6</v>
      </c>
      <c r="H76" s="26">
        <f>IFERROR(__xludf.DUMMYFUNCTION("""COMPUTED_VALUE"""),41.5104)</f>
        <v>41.5104</v>
      </c>
    </row>
    <row r="77">
      <c r="A77" s="26" t="str">
        <f>IFERROR(__xludf.DUMMYFUNCTION("""COMPUTED_VALUE"""),"CA-2014-143917")</f>
        <v>CA-2014-143917</v>
      </c>
      <c r="B77" s="27">
        <f>IFERROR(__xludf.DUMMYFUNCTION("""COMPUTED_VALUE"""),41845.0)</f>
        <v>41845</v>
      </c>
      <c r="C77" s="26" t="str">
        <f>IFERROR(__xludf.DUMMYFUNCTION("""COMPUTED_VALUE"""),"Consumer")</f>
        <v>Consumer</v>
      </c>
      <c r="D77" s="26" t="str">
        <f>IFERROR(__xludf.DUMMYFUNCTION("""COMPUTED_VALUE"""),"California")</f>
        <v>California</v>
      </c>
      <c r="E77" s="26" t="str">
        <f>IFERROR(__xludf.DUMMYFUNCTION("""COMPUTED_VALUE"""),"West")</f>
        <v>West</v>
      </c>
      <c r="F77" s="26">
        <f>IFERROR(__xludf.DUMMYFUNCTION("""COMPUTED_VALUE"""),53.72)</f>
        <v>53.72</v>
      </c>
      <c r="G77" s="26">
        <f>IFERROR(__xludf.DUMMYFUNCTION("""COMPUTED_VALUE"""),4.0)</f>
        <v>4</v>
      </c>
      <c r="H77" s="26">
        <f>IFERROR(__xludf.DUMMYFUNCTION("""COMPUTED_VALUE"""),15.0416)</f>
        <v>15.0416</v>
      </c>
    </row>
    <row r="78">
      <c r="A78" s="26" t="str">
        <f>IFERROR(__xludf.DUMMYFUNCTION("""COMPUTED_VALUE"""),"CA-2014-147298")</f>
        <v>CA-2014-147298</v>
      </c>
      <c r="B78" s="27">
        <f>IFERROR(__xludf.DUMMYFUNCTION("""COMPUTED_VALUE"""),41755.0)</f>
        <v>41755</v>
      </c>
      <c r="C78" s="26" t="str">
        <f>IFERROR(__xludf.DUMMYFUNCTION("""COMPUTED_VALUE"""),"Corporate")</f>
        <v>Corporate</v>
      </c>
      <c r="D78" s="26" t="str">
        <f>IFERROR(__xludf.DUMMYFUNCTION("""COMPUTED_VALUE"""),"California")</f>
        <v>California</v>
      </c>
      <c r="E78" s="26" t="str">
        <f>IFERROR(__xludf.DUMMYFUNCTION("""COMPUTED_VALUE"""),"West")</f>
        <v>West</v>
      </c>
      <c r="F78" s="26">
        <f>IFERROR(__xludf.DUMMYFUNCTION("""COMPUTED_VALUE"""),230.28)</f>
        <v>230.28</v>
      </c>
      <c r="G78" s="26">
        <f>IFERROR(__xludf.DUMMYFUNCTION("""COMPUTED_VALUE"""),3.0)</f>
        <v>3</v>
      </c>
      <c r="H78" s="26">
        <f>IFERROR(__xludf.DUMMYFUNCTION("""COMPUTED_VALUE"""),23.028)</f>
        <v>23.028</v>
      </c>
    </row>
    <row r="79">
      <c r="A79" s="26" t="str">
        <f>IFERROR(__xludf.DUMMYFUNCTION("""COMPUTED_VALUE"""),"US-2014-160780")</f>
        <v>US-2014-160780</v>
      </c>
      <c r="B79" s="27">
        <f>IFERROR(__xludf.DUMMYFUNCTION("""COMPUTED_VALUE"""),41811.0)</f>
        <v>41811</v>
      </c>
      <c r="C79" s="26" t="str">
        <f>IFERROR(__xludf.DUMMYFUNCTION("""COMPUTED_VALUE"""),"Consumer")</f>
        <v>Consumer</v>
      </c>
      <c r="D79" s="26" t="str">
        <f>IFERROR(__xludf.DUMMYFUNCTION("""COMPUTED_VALUE"""),"Colorado")</f>
        <v>Colorado</v>
      </c>
      <c r="E79" s="26" t="str">
        <f>IFERROR(__xludf.DUMMYFUNCTION("""COMPUTED_VALUE"""),"West")</f>
        <v>West</v>
      </c>
      <c r="F79" s="26">
        <f>IFERROR(__xludf.DUMMYFUNCTION("""COMPUTED_VALUE"""),11.088)</f>
        <v>11.088</v>
      </c>
      <c r="G79" s="26">
        <f>IFERROR(__xludf.DUMMYFUNCTION("""COMPUTED_VALUE"""),7.0)</f>
        <v>7</v>
      </c>
      <c r="H79" s="26">
        <f>IFERROR(__xludf.DUMMYFUNCTION("""COMPUTED_VALUE"""),-8.1312)</f>
        <v>-8.1312</v>
      </c>
    </row>
    <row r="80">
      <c r="A80" s="26" t="str">
        <f>IFERROR(__xludf.DUMMYFUNCTION("""COMPUTED_VALUE"""),"CA-2014-153479")</f>
        <v>CA-2014-153479</v>
      </c>
      <c r="B80" s="27">
        <f>IFERROR(__xludf.DUMMYFUNCTION("""COMPUTED_VALUE"""),41916.0)</f>
        <v>41916</v>
      </c>
      <c r="C80" s="26" t="str">
        <f>IFERROR(__xludf.DUMMYFUNCTION("""COMPUTED_VALUE"""),"Consumer")</f>
        <v>Consumer</v>
      </c>
      <c r="D80" s="26" t="str">
        <f>IFERROR(__xludf.DUMMYFUNCTION("""COMPUTED_VALUE"""),"California")</f>
        <v>California</v>
      </c>
      <c r="E80" s="26" t="str">
        <f>IFERROR(__xludf.DUMMYFUNCTION("""COMPUTED_VALUE"""),"West")</f>
        <v>West</v>
      </c>
      <c r="F80" s="26">
        <f>IFERROR(__xludf.DUMMYFUNCTION("""COMPUTED_VALUE"""),14.45)</f>
        <v>14.45</v>
      </c>
      <c r="G80" s="26">
        <f>IFERROR(__xludf.DUMMYFUNCTION("""COMPUTED_VALUE"""),5.0)</f>
        <v>5</v>
      </c>
      <c r="H80" s="26">
        <f>IFERROR(__xludf.DUMMYFUNCTION("""COMPUTED_VALUE"""),6.7915)</f>
        <v>6.7915</v>
      </c>
    </row>
    <row r="81">
      <c r="A81" s="26" t="str">
        <f>IFERROR(__xludf.DUMMYFUNCTION("""COMPUTED_VALUE"""),"CA-2014-149244")</f>
        <v>CA-2014-149244</v>
      </c>
      <c r="B81" s="27">
        <f>IFERROR(__xludf.DUMMYFUNCTION("""COMPUTED_VALUE"""),41947.0)</f>
        <v>41947</v>
      </c>
      <c r="C81" s="26" t="str">
        <f>IFERROR(__xludf.DUMMYFUNCTION("""COMPUTED_VALUE"""),"Consumer")</f>
        <v>Consumer</v>
      </c>
      <c r="D81" s="26" t="str">
        <f>IFERROR(__xludf.DUMMYFUNCTION("""COMPUTED_VALUE"""),"California")</f>
        <v>California</v>
      </c>
      <c r="E81" s="26" t="str">
        <f>IFERROR(__xludf.DUMMYFUNCTION("""COMPUTED_VALUE"""),"West")</f>
        <v>West</v>
      </c>
      <c r="F81" s="26">
        <f>IFERROR(__xludf.DUMMYFUNCTION("""COMPUTED_VALUE"""),35.34)</f>
        <v>35.34</v>
      </c>
      <c r="G81" s="26">
        <f>IFERROR(__xludf.DUMMYFUNCTION("""COMPUTED_VALUE"""),2.0)</f>
        <v>2</v>
      </c>
      <c r="H81" s="26">
        <f>IFERROR(__xludf.DUMMYFUNCTION("""COMPUTED_VALUE"""),13.4292)</f>
        <v>13.4292</v>
      </c>
    </row>
    <row r="82">
      <c r="A82" s="26" t="str">
        <f>IFERROR(__xludf.DUMMYFUNCTION("""COMPUTED_VALUE"""),"US-2014-141257")</f>
        <v>US-2014-141257</v>
      </c>
      <c r="B82" s="27">
        <f>IFERROR(__xludf.DUMMYFUNCTION("""COMPUTED_VALUE"""),41798.0)</f>
        <v>41798</v>
      </c>
      <c r="C82" s="26" t="str">
        <f>IFERROR(__xludf.DUMMYFUNCTION("""COMPUTED_VALUE"""),"Consumer")</f>
        <v>Consumer</v>
      </c>
      <c r="D82" s="26" t="str">
        <f>IFERROR(__xludf.DUMMYFUNCTION("""COMPUTED_VALUE"""),"Washington")</f>
        <v>Washington</v>
      </c>
      <c r="E82" s="26" t="str">
        <f>IFERROR(__xludf.DUMMYFUNCTION("""COMPUTED_VALUE"""),"West")</f>
        <v>West</v>
      </c>
      <c r="F82" s="26">
        <f>IFERROR(__xludf.DUMMYFUNCTION("""COMPUTED_VALUE"""),585.552)</f>
        <v>585.552</v>
      </c>
      <c r="G82" s="26">
        <f>IFERROR(__xludf.DUMMYFUNCTION("""COMPUTED_VALUE"""),3.0)</f>
        <v>3</v>
      </c>
      <c r="H82" s="26">
        <f>IFERROR(__xludf.DUMMYFUNCTION("""COMPUTED_VALUE"""),73.194)</f>
        <v>73.194</v>
      </c>
    </row>
    <row r="83">
      <c r="A83" s="26" t="str">
        <f>IFERROR(__xludf.DUMMYFUNCTION("""COMPUTED_VALUE"""),"CA-2014-154669")</f>
        <v>CA-2014-154669</v>
      </c>
      <c r="B83" s="27">
        <f>IFERROR(__xludf.DUMMYFUNCTION("""COMPUTED_VALUE"""),41859.0)</f>
        <v>41859</v>
      </c>
      <c r="C83" s="26" t="str">
        <f>IFERROR(__xludf.DUMMYFUNCTION("""COMPUTED_VALUE"""),"Consumer")</f>
        <v>Consumer</v>
      </c>
      <c r="D83" s="26" t="str">
        <f>IFERROR(__xludf.DUMMYFUNCTION("""COMPUTED_VALUE"""),"California")</f>
        <v>California</v>
      </c>
      <c r="E83" s="26" t="str">
        <f>IFERROR(__xludf.DUMMYFUNCTION("""COMPUTED_VALUE"""),"West")</f>
        <v>West</v>
      </c>
      <c r="F83" s="26">
        <f>IFERROR(__xludf.DUMMYFUNCTION("""COMPUTED_VALUE"""),423.28)</f>
        <v>423.28</v>
      </c>
      <c r="G83" s="26">
        <f>IFERROR(__xludf.DUMMYFUNCTION("""COMPUTED_VALUE"""),11.0)</f>
        <v>11</v>
      </c>
      <c r="H83" s="26">
        <f>IFERROR(__xludf.DUMMYFUNCTION("""COMPUTED_VALUE"""),110.0528)</f>
        <v>110.0528</v>
      </c>
    </row>
    <row r="84">
      <c r="A84" s="26" t="str">
        <f>IFERROR(__xludf.DUMMYFUNCTION("""COMPUTED_VALUE"""),"CA-2014-158029")</f>
        <v>CA-2014-158029</v>
      </c>
      <c r="B84" s="27">
        <f>IFERROR(__xludf.DUMMYFUNCTION("""COMPUTED_VALUE"""),41785.0)</f>
        <v>41785</v>
      </c>
      <c r="C84" s="26" t="str">
        <f>IFERROR(__xludf.DUMMYFUNCTION("""COMPUTED_VALUE"""),"Consumer")</f>
        <v>Consumer</v>
      </c>
      <c r="D84" s="26" t="str">
        <f>IFERROR(__xludf.DUMMYFUNCTION("""COMPUTED_VALUE"""),"California")</f>
        <v>California</v>
      </c>
      <c r="E84" s="26" t="str">
        <f>IFERROR(__xludf.DUMMYFUNCTION("""COMPUTED_VALUE"""),"West")</f>
        <v>West</v>
      </c>
      <c r="F84" s="26">
        <f>IFERROR(__xludf.DUMMYFUNCTION("""COMPUTED_VALUE"""),225.296)</f>
        <v>225.296</v>
      </c>
      <c r="G84" s="26">
        <f>IFERROR(__xludf.DUMMYFUNCTION("""COMPUTED_VALUE"""),2.0)</f>
        <v>2</v>
      </c>
      <c r="H84" s="26">
        <f>IFERROR(__xludf.DUMMYFUNCTION("""COMPUTED_VALUE"""),22.5296)</f>
        <v>22.5296</v>
      </c>
    </row>
    <row r="85">
      <c r="A85" s="26" t="str">
        <f>IFERROR(__xludf.DUMMYFUNCTION("""COMPUTED_VALUE"""),"CA-2014-129574")</f>
        <v>CA-2014-129574</v>
      </c>
      <c r="B85" s="27">
        <f>IFERROR(__xludf.DUMMYFUNCTION("""COMPUTED_VALUE"""),41785.0)</f>
        <v>41785</v>
      </c>
      <c r="C85" s="26" t="str">
        <f>IFERROR(__xludf.DUMMYFUNCTION("""COMPUTED_VALUE"""),"Home Office")</f>
        <v>Home Office</v>
      </c>
      <c r="D85" s="26" t="str">
        <f>IFERROR(__xludf.DUMMYFUNCTION("""COMPUTED_VALUE"""),"Utah")</f>
        <v>Utah</v>
      </c>
      <c r="E85" s="26" t="str">
        <f>IFERROR(__xludf.DUMMYFUNCTION("""COMPUTED_VALUE"""),"West")</f>
        <v>West</v>
      </c>
      <c r="F85" s="26">
        <f>IFERROR(__xludf.DUMMYFUNCTION("""COMPUTED_VALUE"""),48.4)</f>
        <v>48.4</v>
      </c>
      <c r="G85" s="26">
        <f>IFERROR(__xludf.DUMMYFUNCTION("""COMPUTED_VALUE"""),5.0)</f>
        <v>5</v>
      </c>
      <c r="H85" s="26">
        <f>IFERROR(__xludf.DUMMYFUNCTION("""COMPUTED_VALUE"""),23.232)</f>
        <v>23.232</v>
      </c>
    </row>
    <row r="86">
      <c r="A86" s="26" t="str">
        <f>IFERROR(__xludf.DUMMYFUNCTION("""COMPUTED_VALUE"""),"CA-2014-154599")</f>
        <v>CA-2014-154599</v>
      </c>
      <c r="B86" s="27">
        <f>IFERROR(__xludf.DUMMYFUNCTION("""COMPUTED_VALUE"""),41741.0)</f>
        <v>41741</v>
      </c>
      <c r="C86" s="26" t="str">
        <f>IFERROR(__xludf.DUMMYFUNCTION("""COMPUTED_VALUE"""),"Corporate")</f>
        <v>Corporate</v>
      </c>
      <c r="D86" s="26" t="str">
        <f>IFERROR(__xludf.DUMMYFUNCTION("""COMPUTED_VALUE"""),"California")</f>
        <v>California</v>
      </c>
      <c r="E86" s="26" t="str">
        <f>IFERROR(__xludf.DUMMYFUNCTION("""COMPUTED_VALUE"""),"West")</f>
        <v>West</v>
      </c>
      <c r="F86" s="26">
        <f>IFERROR(__xludf.DUMMYFUNCTION("""COMPUTED_VALUE"""),1075.088)</f>
        <v>1075.088</v>
      </c>
      <c r="G86" s="26">
        <f>IFERROR(__xludf.DUMMYFUNCTION("""COMPUTED_VALUE"""),14.0)</f>
        <v>14</v>
      </c>
      <c r="H86" s="26">
        <f>IFERROR(__xludf.DUMMYFUNCTION("""COMPUTED_VALUE"""),94.0702)</f>
        <v>94.0702</v>
      </c>
    </row>
    <row r="87">
      <c r="A87" s="26" t="str">
        <f>IFERROR(__xludf.DUMMYFUNCTION("""COMPUTED_VALUE"""),"CA-2014-148915")</f>
        <v>CA-2014-148915</v>
      </c>
      <c r="B87" s="27">
        <f>IFERROR(__xludf.DUMMYFUNCTION("""COMPUTED_VALUE"""),41944.0)</f>
        <v>41944</v>
      </c>
      <c r="C87" s="26" t="str">
        <f>IFERROR(__xludf.DUMMYFUNCTION("""COMPUTED_VALUE"""),"Consumer")</f>
        <v>Consumer</v>
      </c>
      <c r="D87" s="26" t="str">
        <f>IFERROR(__xludf.DUMMYFUNCTION("""COMPUTED_VALUE"""),"Oregon")</f>
        <v>Oregon</v>
      </c>
      <c r="E87" s="26" t="str">
        <f>IFERROR(__xludf.DUMMYFUNCTION("""COMPUTED_VALUE"""),"West")</f>
        <v>West</v>
      </c>
      <c r="F87" s="26">
        <f>IFERROR(__xludf.DUMMYFUNCTION("""COMPUTED_VALUE"""),443.92)</f>
        <v>443.92</v>
      </c>
      <c r="G87" s="26">
        <f>IFERROR(__xludf.DUMMYFUNCTION("""COMPUTED_VALUE"""),5.0)</f>
        <v>5</v>
      </c>
      <c r="H87" s="26">
        <f>IFERROR(__xludf.DUMMYFUNCTION("""COMPUTED_VALUE"""),-94.333)</f>
        <v>-94.333</v>
      </c>
    </row>
    <row r="88">
      <c r="A88" s="26" t="str">
        <f>IFERROR(__xludf.DUMMYFUNCTION("""COMPUTED_VALUE"""),"CA-2014-148040")</f>
        <v>CA-2014-148040</v>
      </c>
      <c r="B88" s="27">
        <f>IFERROR(__xludf.DUMMYFUNCTION("""COMPUTED_VALUE"""),41720.0)</f>
        <v>41720</v>
      </c>
      <c r="C88" s="26" t="str">
        <f>IFERROR(__xludf.DUMMYFUNCTION("""COMPUTED_VALUE"""),"Corporate")</f>
        <v>Corporate</v>
      </c>
      <c r="D88" s="26" t="str">
        <f>IFERROR(__xludf.DUMMYFUNCTION("""COMPUTED_VALUE"""),"Arizona")</f>
        <v>Arizona</v>
      </c>
      <c r="E88" s="26" t="str">
        <f>IFERROR(__xludf.DUMMYFUNCTION("""COMPUTED_VALUE"""),"West")</f>
        <v>West</v>
      </c>
      <c r="F88" s="26">
        <f>IFERROR(__xludf.DUMMYFUNCTION("""COMPUTED_VALUE"""),74.352)</f>
        <v>74.352</v>
      </c>
      <c r="G88" s="26">
        <f>IFERROR(__xludf.DUMMYFUNCTION("""COMPUTED_VALUE"""),3.0)</f>
        <v>3</v>
      </c>
      <c r="H88" s="26">
        <f>IFERROR(__xludf.DUMMYFUNCTION("""COMPUTED_VALUE"""),23.235)</f>
        <v>23.235</v>
      </c>
    </row>
    <row r="89">
      <c r="A89" s="26" t="str">
        <f>IFERROR(__xludf.DUMMYFUNCTION("""COMPUTED_VALUE"""),"CA-2014-127586")</f>
        <v>CA-2014-127586</v>
      </c>
      <c r="B89" s="27">
        <f>IFERROR(__xludf.DUMMYFUNCTION("""COMPUTED_VALUE"""),41908.0)</f>
        <v>41908</v>
      </c>
      <c r="C89" s="26" t="str">
        <f>IFERROR(__xludf.DUMMYFUNCTION("""COMPUTED_VALUE"""),"Home Office")</f>
        <v>Home Office</v>
      </c>
      <c r="D89" s="26" t="str">
        <f>IFERROR(__xludf.DUMMYFUNCTION("""COMPUTED_VALUE"""),"Washington")</f>
        <v>Washington</v>
      </c>
      <c r="E89" s="26" t="str">
        <f>IFERROR(__xludf.DUMMYFUNCTION("""COMPUTED_VALUE"""),"West")</f>
        <v>West</v>
      </c>
      <c r="F89" s="26">
        <f>IFERROR(__xludf.DUMMYFUNCTION("""COMPUTED_VALUE"""),310.12)</f>
        <v>310.12</v>
      </c>
      <c r="G89" s="26">
        <f>IFERROR(__xludf.DUMMYFUNCTION("""COMPUTED_VALUE"""),2.0)</f>
        <v>2</v>
      </c>
      <c r="H89" s="26">
        <f>IFERROR(__xludf.DUMMYFUNCTION("""COMPUTED_VALUE"""),80.6312)</f>
        <v>80.6312</v>
      </c>
    </row>
    <row r="90">
      <c r="A90" s="26" t="str">
        <f>IFERROR(__xludf.DUMMYFUNCTION("""COMPUTED_VALUE"""),"CA-2014-131310")</f>
        <v>CA-2014-131310</v>
      </c>
      <c r="B90" s="27">
        <f>IFERROR(__xludf.DUMMYFUNCTION("""COMPUTED_VALUE"""),41832.0)</f>
        <v>41832</v>
      </c>
      <c r="C90" s="26" t="str">
        <f>IFERROR(__xludf.DUMMYFUNCTION("""COMPUTED_VALUE"""),"Consumer")</f>
        <v>Consumer</v>
      </c>
      <c r="D90" s="26" t="str">
        <f>IFERROR(__xludf.DUMMYFUNCTION("""COMPUTED_VALUE"""),"Washington")</f>
        <v>Washington</v>
      </c>
      <c r="E90" s="26" t="str">
        <f>IFERROR(__xludf.DUMMYFUNCTION("""COMPUTED_VALUE"""),"West")</f>
        <v>West</v>
      </c>
      <c r="F90" s="26">
        <f>IFERROR(__xludf.DUMMYFUNCTION("""COMPUTED_VALUE"""),123.136)</f>
        <v>123.136</v>
      </c>
      <c r="G90" s="26">
        <f>IFERROR(__xludf.DUMMYFUNCTION("""COMPUTED_VALUE"""),4.0)</f>
        <v>4</v>
      </c>
      <c r="H90" s="26">
        <f>IFERROR(__xludf.DUMMYFUNCTION("""COMPUTED_VALUE"""),13.8528)</f>
        <v>13.8528</v>
      </c>
    </row>
    <row r="91">
      <c r="A91" s="26" t="str">
        <f>IFERROR(__xludf.DUMMYFUNCTION("""COMPUTED_VALUE"""),"US-2014-112872")</f>
        <v>US-2014-112872</v>
      </c>
      <c r="B91" s="27">
        <f>IFERROR(__xludf.DUMMYFUNCTION("""COMPUTED_VALUE"""),41979.0)</f>
        <v>41979</v>
      </c>
      <c r="C91" s="26" t="str">
        <f>IFERROR(__xludf.DUMMYFUNCTION("""COMPUTED_VALUE"""),"Consumer")</f>
        <v>Consumer</v>
      </c>
      <c r="D91" s="26" t="str">
        <f>IFERROR(__xludf.DUMMYFUNCTION("""COMPUTED_VALUE"""),"Oregon")</f>
        <v>Oregon</v>
      </c>
      <c r="E91" s="26" t="str">
        <f>IFERROR(__xludf.DUMMYFUNCTION("""COMPUTED_VALUE"""),"West")</f>
        <v>West</v>
      </c>
      <c r="F91" s="26">
        <f>IFERROR(__xludf.DUMMYFUNCTION("""COMPUTED_VALUE"""),53.424)</f>
        <v>53.424</v>
      </c>
      <c r="G91" s="26">
        <f>IFERROR(__xludf.DUMMYFUNCTION("""COMPUTED_VALUE"""),3.0)</f>
        <v>3</v>
      </c>
      <c r="H91" s="26">
        <f>IFERROR(__xludf.DUMMYFUNCTION("""COMPUTED_VALUE"""),4.6746)</f>
        <v>4.6746</v>
      </c>
    </row>
    <row r="92">
      <c r="A92" s="26" t="str">
        <f>IFERROR(__xludf.DUMMYFUNCTION("""COMPUTED_VALUE"""),"US-2014-150532")</f>
        <v>US-2014-150532</v>
      </c>
      <c r="B92" s="27">
        <f>IFERROR(__xludf.DUMMYFUNCTION("""COMPUTED_VALUE"""),41834.0)</f>
        <v>41834</v>
      </c>
      <c r="C92" s="26" t="str">
        <f>IFERROR(__xludf.DUMMYFUNCTION("""COMPUTED_VALUE"""),"Consumer")</f>
        <v>Consumer</v>
      </c>
      <c r="D92" s="26" t="str">
        <f>IFERROR(__xludf.DUMMYFUNCTION("""COMPUTED_VALUE"""),"Arizona")</f>
        <v>Arizona</v>
      </c>
      <c r="E92" s="26" t="str">
        <f>IFERROR(__xludf.DUMMYFUNCTION("""COMPUTED_VALUE"""),"West")</f>
        <v>West</v>
      </c>
      <c r="F92" s="26">
        <f>IFERROR(__xludf.DUMMYFUNCTION("""COMPUTED_VALUE"""),55.92)</f>
        <v>55.92</v>
      </c>
      <c r="G92" s="26">
        <f>IFERROR(__xludf.DUMMYFUNCTION("""COMPUTED_VALUE"""),5.0)</f>
        <v>5</v>
      </c>
      <c r="H92" s="26">
        <f>IFERROR(__xludf.DUMMYFUNCTION("""COMPUTED_VALUE"""),6.291)</f>
        <v>6.291</v>
      </c>
    </row>
    <row r="93">
      <c r="A93" s="26" t="str">
        <f>IFERROR(__xludf.DUMMYFUNCTION("""COMPUTED_VALUE"""),"CA-2014-130729")</f>
        <v>CA-2014-130729</v>
      </c>
      <c r="B93" s="29">
        <f>IFERROR(__xludf.DUMMYFUNCTION("""COMPUTED_VALUE"""),41936.0)</f>
        <v>41936</v>
      </c>
      <c r="C93" s="26" t="str">
        <f>IFERROR(__xludf.DUMMYFUNCTION("""COMPUTED_VALUE"""),"Consumer")</f>
        <v>Consumer</v>
      </c>
      <c r="D93" s="26" t="str">
        <f>IFERROR(__xludf.DUMMYFUNCTION("""COMPUTED_VALUE"""),"California")</f>
        <v>California</v>
      </c>
      <c r="E93" s="26" t="str">
        <f>IFERROR(__xludf.DUMMYFUNCTION("""COMPUTED_VALUE"""),"West")</f>
        <v>West</v>
      </c>
      <c r="F93" s="26">
        <f>IFERROR(__xludf.DUMMYFUNCTION("""COMPUTED_VALUE"""),34.272)</f>
        <v>34.272</v>
      </c>
      <c r="G93" s="26">
        <f>IFERROR(__xludf.DUMMYFUNCTION("""COMPUTED_VALUE"""),3.0)</f>
        <v>3</v>
      </c>
      <c r="H93" s="26">
        <f>IFERROR(__xludf.DUMMYFUNCTION("""COMPUTED_VALUE"""),11.1384)</f>
        <v>11.1384</v>
      </c>
    </row>
    <row r="94">
      <c r="A94" s="26" t="str">
        <f>IFERROR(__xludf.DUMMYFUNCTION("""COMPUTED_VALUE"""),"CA-2014-106719")</f>
        <v>CA-2014-106719</v>
      </c>
      <c r="B94" s="27">
        <f>IFERROR(__xludf.DUMMYFUNCTION("""COMPUTED_VALUE"""),41875.0)</f>
        <v>41875</v>
      </c>
      <c r="C94" s="26" t="str">
        <f>IFERROR(__xludf.DUMMYFUNCTION("""COMPUTED_VALUE"""),"Corporate")</f>
        <v>Corporate</v>
      </c>
      <c r="D94" s="26" t="str">
        <f>IFERROR(__xludf.DUMMYFUNCTION("""COMPUTED_VALUE"""),"Montana")</f>
        <v>Montana</v>
      </c>
      <c r="E94" s="26" t="str">
        <f>IFERROR(__xludf.DUMMYFUNCTION("""COMPUTED_VALUE"""),"West")</f>
        <v>West</v>
      </c>
      <c r="F94" s="26">
        <f>IFERROR(__xludf.DUMMYFUNCTION("""COMPUTED_VALUE"""),8.288)</f>
        <v>8.288</v>
      </c>
      <c r="G94" s="26">
        <f>IFERROR(__xludf.DUMMYFUNCTION("""COMPUTED_VALUE"""),2.0)</f>
        <v>2</v>
      </c>
      <c r="H94" s="26">
        <f>IFERROR(__xludf.DUMMYFUNCTION("""COMPUTED_VALUE"""),2.6936)</f>
        <v>2.6936</v>
      </c>
    </row>
    <row r="95">
      <c r="A95" s="26" t="str">
        <f>IFERROR(__xludf.DUMMYFUNCTION("""COMPUTED_VALUE"""),"CA-2014-137351")</f>
        <v>CA-2014-137351</v>
      </c>
      <c r="B95" s="27">
        <f>IFERROR(__xludf.DUMMYFUNCTION("""COMPUTED_VALUE"""),41912.0)</f>
        <v>41912</v>
      </c>
      <c r="C95" s="26" t="str">
        <f>IFERROR(__xludf.DUMMYFUNCTION("""COMPUTED_VALUE"""),"Consumer")</f>
        <v>Consumer</v>
      </c>
      <c r="D95" s="26" t="str">
        <f>IFERROR(__xludf.DUMMYFUNCTION("""COMPUTED_VALUE"""),"Washington")</f>
        <v>Washington</v>
      </c>
      <c r="E95" s="26" t="str">
        <f>IFERROR(__xludf.DUMMYFUNCTION("""COMPUTED_VALUE"""),"West")</f>
        <v>West</v>
      </c>
      <c r="F95" s="26">
        <f>IFERROR(__xludf.DUMMYFUNCTION("""COMPUTED_VALUE"""),43.176)</f>
        <v>43.176</v>
      </c>
      <c r="G95" s="26">
        <f>IFERROR(__xludf.DUMMYFUNCTION("""COMPUTED_VALUE"""),7.0)</f>
        <v>7</v>
      </c>
      <c r="H95" s="26">
        <f>IFERROR(__xludf.DUMMYFUNCTION("""COMPUTED_VALUE"""),13.4925)</f>
        <v>13.4925</v>
      </c>
    </row>
    <row r="96">
      <c r="A96" s="26" t="str">
        <f>IFERROR(__xludf.DUMMYFUNCTION("""COMPUTED_VALUE"""),"CA-2014-104780")</f>
        <v>CA-2014-104780</v>
      </c>
      <c r="B96" s="27">
        <f>IFERROR(__xludf.DUMMYFUNCTION("""COMPUTED_VALUE"""),41780.0)</f>
        <v>41780</v>
      </c>
      <c r="C96" s="26" t="str">
        <f>IFERROR(__xludf.DUMMYFUNCTION("""COMPUTED_VALUE"""),"Home Office")</f>
        <v>Home Office</v>
      </c>
      <c r="D96" s="26" t="str">
        <f>IFERROR(__xludf.DUMMYFUNCTION("""COMPUTED_VALUE"""),"California")</f>
        <v>California</v>
      </c>
      <c r="E96" s="26" t="str">
        <f>IFERROR(__xludf.DUMMYFUNCTION("""COMPUTED_VALUE"""),"West")</f>
        <v>West</v>
      </c>
      <c r="F96" s="26">
        <f>IFERROR(__xludf.DUMMYFUNCTION("""COMPUTED_VALUE"""),31.84)</f>
        <v>31.84</v>
      </c>
      <c r="G96" s="26">
        <f>IFERROR(__xludf.DUMMYFUNCTION("""COMPUTED_VALUE"""),8.0)</f>
        <v>8</v>
      </c>
      <c r="H96" s="26">
        <f>IFERROR(__xludf.DUMMYFUNCTION("""COMPUTED_VALUE"""),10.5072)</f>
        <v>10.5072</v>
      </c>
    </row>
    <row r="97">
      <c r="A97" s="26" t="str">
        <f>IFERROR(__xludf.DUMMYFUNCTION("""COMPUTED_VALUE"""),"CA-2014-136399")</f>
        <v>CA-2014-136399</v>
      </c>
      <c r="B97" s="29">
        <f>IFERROR(__xludf.DUMMYFUNCTION("""COMPUTED_VALUE"""),41989.0)</f>
        <v>41989</v>
      </c>
      <c r="C97" s="26" t="str">
        <f>IFERROR(__xludf.DUMMYFUNCTION("""COMPUTED_VALUE"""),"Home Office")</f>
        <v>Home Office</v>
      </c>
      <c r="D97" s="26" t="str">
        <f>IFERROR(__xludf.DUMMYFUNCTION("""COMPUTED_VALUE"""),"California")</f>
        <v>California</v>
      </c>
      <c r="E97" s="26" t="str">
        <f>IFERROR(__xludf.DUMMYFUNCTION("""COMPUTED_VALUE"""),"West")</f>
        <v>West</v>
      </c>
      <c r="F97" s="26">
        <f>IFERROR(__xludf.DUMMYFUNCTION("""COMPUTED_VALUE"""),44.46)</f>
        <v>44.46</v>
      </c>
      <c r="G97" s="26">
        <f>IFERROR(__xludf.DUMMYFUNCTION("""COMPUTED_VALUE"""),2.0)</f>
        <v>2</v>
      </c>
      <c r="H97" s="26">
        <f>IFERROR(__xludf.DUMMYFUNCTION("""COMPUTED_VALUE"""),14.6718)</f>
        <v>14.6718</v>
      </c>
    </row>
    <row r="98">
      <c r="A98" s="26" t="str">
        <f>IFERROR(__xludf.DUMMYFUNCTION("""COMPUTED_VALUE"""),"CA-2014-109218")</f>
        <v>CA-2014-109218</v>
      </c>
      <c r="B98" s="27">
        <f>IFERROR(__xludf.DUMMYFUNCTION("""COMPUTED_VALUE"""),41820.0)</f>
        <v>41820</v>
      </c>
      <c r="C98" s="26" t="str">
        <f>IFERROR(__xludf.DUMMYFUNCTION("""COMPUTED_VALUE"""),"Corporate")</f>
        <v>Corporate</v>
      </c>
      <c r="D98" s="26" t="str">
        <f>IFERROR(__xludf.DUMMYFUNCTION("""COMPUTED_VALUE"""),"California")</f>
        <v>California</v>
      </c>
      <c r="E98" s="26" t="str">
        <f>IFERROR(__xludf.DUMMYFUNCTION("""COMPUTED_VALUE"""),"West")</f>
        <v>West</v>
      </c>
      <c r="F98" s="26">
        <f>IFERROR(__xludf.DUMMYFUNCTION("""COMPUTED_VALUE"""),32.4)</f>
        <v>32.4</v>
      </c>
      <c r="G98" s="26">
        <f>IFERROR(__xludf.DUMMYFUNCTION("""COMPUTED_VALUE"""),5.0)</f>
        <v>5</v>
      </c>
      <c r="H98" s="26">
        <f>IFERROR(__xludf.DUMMYFUNCTION("""COMPUTED_VALUE"""),10.368)</f>
        <v>10.368</v>
      </c>
    </row>
    <row r="99">
      <c r="A99" s="26" t="str">
        <f>IFERROR(__xludf.DUMMYFUNCTION("""COMPUTED_VALUE"""),"US-2014-109036")</f>
        <v>US-2014-109036</v>
      </c>
      <c r="B99" s="29">
        <f>IFERROR(__xludf.DUMMYFUNCTION("""COMPUTED_VALUE"""),41993.0)</f>
        <v>41993</v>
      </c>
      <c r="C99" s="26" t="str">
        <f>IFERROR(__xludf.DUMMYFUNCTION("""COMPUTED_VALUE"""),"Consumer")</f>
        <v>Consumer</v>
      </c>
      <c r="D99" s="26" t="str">
        <f>IFERROR(__xludf.DUMMYFUNCTION("""COMPUTED_VALUE"""),"Washington")</f>
        <v>Washington</v>
      </c>
      <c r="E99" s="26" t="str">
        <f>IFERROR(__xludf.DUMMYFUNCTION("""COMPUTED_VALUE"""),"West")</f>
        <v>West</v>
      </c>
      <c r="F99" s="26">
        <f>IFERROR(__xludf.DUMMYFUNCTION("""COMPUTED_VALUE"""),31.05)</f>
        <v>31.05</v>
      </c>
      <c r="G99" s="26">
        <f>IFERROR(__xludf.DUMMYFUNCTION("""COMPUTED_VALUE"""),3.0)</f>
        <v>3</v>
      </c>
      <c r="H99" s="26">
        <f>IFERROR(__xludf.DUMMYFUNCTION("""COMPUTED_VALUE"""),14.904)</f>
        <v>14.904</v>
      </c>
    </row>
    <row r="100">
      <c r="A100" s="26" t="str">
        <f>IFERROR(__xludf.DUMMYFUNCTION("""COMPUTED_VALUE"""),"CA-2014-128986")</f>
        <v>CA-2014-128986</v>
      </c>
      <c r="B100" s="27">
        <f>IFERROR(__xludf.DUMMYFUNCTION("""COMPUTED_VALUE"""),41854.0)</f>
        <v>41854</v>
      </c>
      <c r="C100" s="26" t="str">
        <f>IFERROR(__xludf.DUMMYFUNCTION("""COMPUTED_VALUE"""),"Home Office")</f>
        <v>Home Office</v>
      </c>
      <c r="D100" s="26" t="str">
        <f>IFERROR(__xludf.DUMMYFUNCTION("""COMPUTED_VALUE"""),"Arizona")</f>
        <v>Arizona</v>
      </c>
      <c r="E100" s="26" t="str">
        <f>IFERROR(__xludf.DUMMYFUNCTION("""COMPUTED_VALUE"""),"West")</f>
        <v>West</v>
      </c>
      <c r="F100" s="26">
        <f>IFERROR(__xludf.DUMMYFUNCTION("""COMPUTED_VALUE"""),93.024)</f>
        <v>93.024</v>
      </c>
      <c r="G100" s="26">
        <f>IFERROR(__xludf.DUMMYFUNCTION("""COMPUTED_VALUE"""),3.0)</f>
        <v>3</v>
      </c>
      <c r="H100" s="26">
        <f>IFERROR(__xludf.DUMMYFUNCTION("""COMPUTED_VALUE"""),33.7212)</f>
        <v>33.7212</v>
      </c>
    </row>
    <row r="101">
      <c r="A101" s="26" t="str">
        <f>IFERROR(__xludf.DUMMYFUNCTION("""COMPUTED_VALUE"""),"CA-2014-153969")</f>
        <v>CA-2014-153969</v>
      </c>
      <c r="B101" s="27">
        <f>IFERROR(__xludf.DUMMYFUNCTION("""COMPUTED_VALUE"""),41903.0)</f>
        <v>41903</v>
      </c>
      <c r="C101" s="26" t="str">
        <f>IFERROR(__xludf.DUMMYFUNCTION("""COMPUTED_VALUE"""),"Consumer")</f>
        <v>Consumer</v>
      </c>
      <c r="D101" s="26" t="str">
        <f>IFERROR(__xludf.DUMMYFUNCTION("""COMPUTED_VALUE"""),"California")</f>
        <v>California</v>
      </c>
      <c r="E101" s="26" t="str">
        <f>IFERROR(__xludf.DUMMYFUNCTION("""COMPUTED_VALUE"""),"West")</f>
        <v>West</v>
      </c>
      <c r="F101" s="26">
        <f>IFERROR(__xludf.DUMMYFUNCTION("""COMPUTED_VALUE"""),15.56)</f>
        <v>15.56</v>
      </c>
      <c r="G101" s="26">
        <f>IFERROR(__xludf.DUMMYFUNCTION("""COMPUTED_VALUE"""),2.0)</f>
        <v>2</v>
      </c>
      <c r="H101" s="26">
        <f>IFERROR(__xludf.DUMMYFUNCTION("""COMPUTED_VALUE"""),7.3132)</f>
        <v>7.3132</v>
      </c>
    </row>
    <row r="102">
      <c r="A102" s="26" t="str">
        <f>IFERROR(__xludf.DUMMYFUNCTION("""COMPUTED_VALUE"""),"CA-2014-158372")</f>
        <v>CA-2014-158372</v>
      </c>
      <c r="B102" s="29">
        <f>IFERROR(__xludf.DUMMYFUNCTION("""COMPUTED_VALUE"""),41953.0)</f>
        <v>41953</v>
      </c>
      <c r="C102" s="26" t="str">
        <f>IFERROR(__xludf.DUMMYFUNCTION("""COMPUTED_VALUE"""),"Consumer")</f>
        <v>Consumer</v>
      </c>
      <c r="D102" s="26" t="str">
        <f>IFERROR(__xludf.DUMMYFUNCTION("""COMPUTED_VALUE"""),"California")</f>
        <v>California</v>
      </c>
      <c r="E102" s="26" t="str">
        <f>IFERROR(__xludf.DUMMYFUNCTION("""COMPUTED_VALUE"""),"West")</f>
        <v>West</v>
      </c>
      <c r="F102" s="26">
        <f>IFERROR(__xludf.DUMMYFUNCTION("""COMPUTED_VALUE"""),601.536)</f>
        <v>601.536</v>
      </c>
      <c r="G102" s="26">
        <f>IFERROR(__xludf.DUMMYFUNCTION("""COMPUTED_VALUE"""),8.0)</f>
        <v>8</v>
      </c>
      <c r="H102" s="26">
        <f>IFERROR(__xludf.DUMMYFUNCTION("""COMPUTED_VALUE"""),60.1536)</f>
        <v>60.1536</v>
      </c>
    </row>
    <row r="103">
      <c r="A103" s="26" t="str">
        <f>IFERROR(__xludf.DUMMYFUNCTION("""COMPUTED_VALUE"""),"CA-2014-114433")</f>
        <v>CA-2014-114433</v>
      </c>
      <c r="B103" s="27">
        <f>IFERROR(__xludf.DUMMYFUNCTION("""COMPUTED_VALUE"""),41772.0)</f>
        <v>41772</v>
      </c>
      <c r="C103" s="26" t="str">
        <f>IFERROR(__xludf.DUMMYFUNCTION("""COMPUTED_VALUE"""),"Consumer")</f>
        <v>Consumer</v>
      </c>
      <c r="D103" s="26" t="str">
        <f>IFERROR(__xludf.DUMMYFUNCTION("""COMPUTED_VALUE"""),"California")</f>
        <v>California</v>
      </c>
      <c r="E103" s="26" t="str">
        <f>IFERROR(__xludf.DUMMYFUNCTION("""COMPUTED_VALUE"""),"West")</f>
        <v>West</v>
      </c>
      <c r="F103" s="26">
        <f>IFERROR(__xludf.DUMMYFUNCTION("""COMPUTED_VALUE"""),149.97)</f>
        <v>149.97</v>
      </c>
      <c r="G103" s="26">
        <f>IFERROR(__xludf.DUMMYFUNCTION("""COMPUTED_VALUE"""),3.0)</f>
        <v>3</v>
      </c>
      <c r="H103" s="26">
        <f>IFERROR(__xludf.DUMMYFUNCTION("""COMPUTED_VALUE"""),52.4895)</f>
        <v>52.4895</v>
      </c>
    </row>
    <row r="104">
      <c r="A104" s="26" t="str">
        <f>IFERROR(__xludf.DUMMYFUNCTION("""COMPUTED_VALUE"""),"CA-2014-108189")</f>
        <v>CA-2014-108189</v>
      </c>
      <c r="B104" s="27">
        <f>IFERROR(__xludf.DUMMYFUNCTION("""COMPUTED_VALUE"""),41914.0)</f>
        <v>41914</v>
      </c>
      <c r="C104" s="26" t="str">
        <f>IFERROR(__xludf.DUMMYFUNCTION("""COMPUTED_VALUE"""),"Corporate")</f>
        <v>Corporate</v>
      </c>
      <c r="D104" s="26" t="str">
        <f>IFERROR(__xludf.DUMMYFUNCTION("""COMPUTED_VALUE"""),"Arizona")</f>
        <v>Arizona</v>
      </c>
      <c r="E104" s="26" t="str">
        <f>IFERROR(__xludf.DUMMYFUNCTION("""COMPUTED_VALUE"""),"West")</f>
        <v>West</v>
      </c>
      <c r="F104" s="26">
        <f>IFERROR(__xludf.DUMMYFUNCTION("""COMPUTED_VALUE"""),9.408)</f>
        <v>9.408</v>
      </c>
      <c r="G104" s="26">
        <f>IFERROR(__xludf.DUMMYFUNCTION("""COMPUTED_VALUE"""),2.0)</f>
        <v>2</v>
      </c>
      <c r="H104" s="26">
        <f>IFERROR(__xludf.DUMMYFUNCTION("""COMPUTED_VALUE"""),3.4104)</f>
        <v>3.4104</v>
      </c>
    </row>
    <row r="105">
      <c r="A105" s="26" t="str">
        <f>IFERROR(__xludf.DUMMYFUNCTION("""COMPUTED_VALUE"""),"CA-2014-140662")</f>
        <v>CA-2014-140662</v>
      </c>
      <c r="B105" s="29">
        <f>IFERROR(__xludf.DUMMYFUNCTION("""COMPUTED_VALUE"""),41960.0)</f>
        <v>41960</v>
      </c>
      <c r="C105" s="26" t="str">
        <f>IFERROR(__xludf.DUMMYFUNCTION("""COMPUTED_VALUE"""),"Corporate")</f>
        <v>Corporate</v>
      </c>
      <c r="D105" s="26" t="str">
        <f>IFERROR(__xludf.DUMMYFUNCTION("""COMPUTED_VALUE"""),"California")</f>
        <v>California</v>
      </c>
      <c r="E105" s="26" t="str">
        <f>IFERROR(__xludf.DUMMYFUNCTION("""COMPUTED_VALUE"""),"West")</f>
        <v>West</v>
      </c>
      <c r="F105" s="26">
        <f>IFERROR(__xludf.DUMMYFUNCTION("""COMPUTED_VALUE"""),99.98)</f>
        <v>99.98</v>
      </c>
      <c r="G105" s="26">
        <f>IFERROR(__xludf.DUMMYFUNCTION("""COMPUTED_VALUE"""),2.0)</f>
        <v>2</v>
      </c>
      <c r="H105" s="26">
        <f>IFERROR(__xludf.DUMMYFUNCTION("""COMPUTED_VALUE"""),7.9984)</f>
        <v>7.9984</v>
      </c>
    </row>
    <row r="106">
      <c r="A106" s="26" t="str">
        <f>IFERROR(__xludf.DUMMYFUNCTION("""COMPUTED_VALUE"""),"CA-2014-106264")</f>
        <v>CA-2014-106264</v>
      </c>
      <c r="B106" s="29">
        <f>IFERROR(__xludf.DUMMYFUNCTION("""COMPUTED_VALUE"""),41999.0)</f>
        <v>41999</v>
      </c>
      <c r="C106" s="26" t="str">
        <f>IFERROR(__xludf.DUMMYFUNCTION("""COMPUTED_VALUE"""),"Consumer")</f>
        <v>Consumer</v>
      </c>
      <c r="D106" s="26" t="str">
        <f>IFERROR(__xludf.DUMMYFUNCTION("""COMPUTED_VALUE"""),"California")</f>
        <v>California</v>
      </c>
      <c r="E106" s="26" t="str">
        <f>IFERROR(__xludf.DUMMYFUNCTION("""COMPUTED_VALUE"""),"West")</f>
        <v>West</v>
      </c>
      <c r="F106" s="26">
        <f>IFERROR(__xludf.DUMMYFUNCTION("""COMPUTED_VALUE"""),11.91)</f>
        <v>11.91</v>
      </c>
      <c r="G106" s="26">
        <f>IFERROR(__xludf.DUMMYFUNCTION("""COMPUTED_VALUE"""),3.0)</f>
        <v>3</v>
      </c>
      <c r="H106" s="26">
        <f>IFERROR(__xludf.DUMMYFUNCTION("""COMPUTED_VALUE"""),0.1191)</f>
        <v>0.1191</v>
      </c>
    </row>
    <row r="107">
      <c r="A107" s="26" t="str">
        <f>IFERROR(__xludf.DUMMYFUNCTION("""COMPUTED_VALUE"""),"US-2014-133130")</f>
        <v>US-2014-133130</v>
      </c>
      <c r="B107" s="27">
        <f>IFERROR(__xludf.DUMMYFUNCTION("""COMPUTED_VALUE"""),41909.0)</f>
        <v>41909</v>
      </c>
      <c r="C107" s="26" t="str">
        <f>IFERROR(__xludf.DUMMYFUNCTION("""COMPUTED_VALUE"""),"Consumer")</f>
        <v>Consumer</v>
      </c>
      <c r="D107" s="26" t="str">
        <f>IFERROR(__xludf.DUMMYFUNCTION("""COMPUTED_VALUE"""),"California")</f>
        <v>California</v>
      </c>
      <c r="E107" s="26" t="str">
        <f>IFERROR(__xludf.DUMMYFUNCTION("""COMPUTED_VALUE"""),"West")</f>
        <v>West</v>
      </c>
      <c r="F107" s="26">
        <f>IFERROR(__xludf.DUMMYFUNCTION("""COMPUTED_VALUE"""),603.92)</f>
        <v>603.92</v>
      </c>
      <c r="G107" s="26">
        <f>IFERROR(__xludf.DUMMYFUNCTION("""COMPUTED_VALUE"""),5.0)</f>
        <v>5</v>
      </c>
      <c r="H107" s="26">
        <f>IFERROR(__xludf.DUMMYFUNCTION("""COMPUTED_VALUE"""),45.294)</f>
        <v>45.294</v>
      </c>
    </row>
    <row r="108">
      <c r="A108" s="26" t="str">
        <f>IFERROR(__xludf.DUMMYFUNCTION("""COMPUTED_VALUE"""),"US-2014-134733")</f>
        <v>US-2014-134733</v>
      </c>
      <c r="B108" s="27">
        <f>IFERROR(__xludf.DUMMYFUNCTION("""COMPUTED_VALUE"""),41905.0)</f>
        <v>41905</v>
      </c>
      <c r="C108" s="26" t="str">
        <f>IFERROR(__xludf.DUMMYFUNCTION("""COMPUTED_VALUE"""),"Corporate")</f>
        <v>Corporate</v>
      </c>
      <c r="D108" s="26" t="str">
        <f>IFERROR(__xludf.DUMMYFUNCTION("""COMPUTED_VALUE"""),"California")</f>
        <v>California</v>
      </c>
      <c r="E108" s="26" t="str">
        <f>IFERROR(__xludf.DUMMYFUNCTION("""COMPUTED_VALUE"""),"West")</f>
        <v>West</v>
      </c>
      <c r="F108" s="26">
        <f>IFERROR(__xludf.DUMMYFUNCTION("""COMPUTED_VALUE"""),435.999)</f>
        <v>435.999</v>
      </c>
      <c r="G108" s="26">
        <f>IFERROR(__xludf.DUMMYFUNCTION("""COMPUTED_VALUE"""),3.0)</f>
        <v>3</v>
      </c>
      <c r="H108" s="26">
        <f>IFERROR(__xludf.DUMMYFUNCTION("""COMPUTED_VALUE"""),20.5176)</f>
        <v>20.5176</v>
      </c>
    </row>
    <row r="109">
      <c r="A109" s="26" t="str">
        <f>IFERROR(__xludf.DUMMYFUNCTION("""COMPUTED_VALUE"""),"CA-2014-115161")</f>
        <v>CA-2014-115161</v>
      </c>
      <c r="B109" s="27">
        <f>IFERROR(__xludf.DUMMYFUNCTION("""COMPUTED_VALUE"""),41670.0)</f>
        <v>41670</v>
      </c>
      <c r="C109" s="26" t="str">
        <f>IFERROR(__xludf.DUMMYFUNCTION("""COMPUTED_VALUE"""),"Consumer")</f>
        <v>Consumer</v>
      </c>
      <c r="D109" s="26" t="str">
        <f>IFERROR(__xludf.DUMMYFUNCTION("""COMPUTED_VALUE"""),"California")</f>
        <v>California</v>
      </c>
      <c r="E109" s="26" t="str">
        <f>IFERROR(__xludf.DUMMYFUNCTION("""COMPUTED_VALUE"""),"West")</f>
        <v>West</v>
      </c>
      <c r="F109" s="26">
        <f>IFERROR(__xludf.DUMMYFUNCTION("""COMPUTED_VALUE"""),290.666)</f>
        <v>290.666</v>
      </c>
      <c r="G109" s="26">
        <f>IFERROR(__xludf.DUMMYFUNCTION("""COMPUTED_VALUE"""),2.0)</f>
        <v>2</v>
      </c>
      <c r="H109" s="26">
        <f>IFERROR(__xludf.DUMMYFUNCTION("""COMPUTED_VALUE"""),3.4196)</f>
        <v>3.4196</v>
      </c>
    </row>
    <row r="110">
      <c r="A110" s="26" t="str">
        <f>IFERROR(__xludf.DUMMYFUNCTION("""COMPUTED_VALUE"""),"CA-2014-166471")</f>
        <v>CA-2014-166471</v>
      </c>
      <c r="B110" s="27">
        <f>IFERROR(__xludf.DUMMYFUNCTION("""COMPUTED_VALUE"""),41860.0)</f>
        <v>41860</v>
      </c>
      <c r="C110" s="26" t="str">
        <f>IFERROR(__xludf.DUMMYFUNCTION("""COMPUTED_VALUE"""),"Home Office")</f>
        <v>Home Office</v>
      </c>
      <c r="D110" s="26" t="str">
        <f>IFERROR(__xludf.DUMMYFUNCTION("""COMPUTED_VALUE"""),"Washington")</f>
        <v>Washington</v>
      </c>
      <c r="E110" s="26" t="str">
        <f>IFERROR(__xludf.DUMMYFUNCTION("""COMPUTED_VALUE"""),"West")</f>
        <v>West</v>
      </c>
      <c r="F110" s="26">
        <f>IFERROR(__xludf.DUMMYFUNCTION("""COMPUTED_VALUE"""),1091.168)</f>
        <v>1091.168</v>
      </c>
      <c r="G110" s="26">
        <f>IFERROR(__xludf.DUMMYFUNCTION("""COMPUTED_VALUE"""),4.0)</f>
        <v>4</v>
      </c>
      <c r="H110" s="26">
        <f>IFERROR(__xludf.DUMMYFUNCTION("""COMPUTED_VALUE"""),68.198)</f>
        <v>68.198</v>
      </c>
    </row>
    <row r="111">
      <c r="A111" s="26" t="str">
        <f>IFERROR(__xludf.DUMMYFUNCTION("""COMPUTED_VALUE"""),"CA-2014-168592")</f>
        <v>CA-2014-168592</v>
      </c>
      <c r="B111" s="27">
        <f>IFERROR(__xludf.DUMMYFUNCTION("""COMPUTED_VALUE"""),41890.0)</f>
        <v>41890</v>
      </c>
      <c r="C111" s="26" t="str">
        <f>IFERROR(__xludf.DUMMYFUNCTION("""COMPUTED_VALUE"""),"Home Office")</f>
        <v>Home Office</v>
      </c>
      <c r="D111" s="26" t="str">
        <f>IFERROR(__xludf.DUMMYFUNCTION("""COMPUTED_VALUE"""),"California")</f>
        <v>California</v>
      </c>
      <c r="E111" s="26" t="str">
        <f>IFERROR(__xludf.DUMMYFUNCTION("""COMPUTED_VALUE"""),"West")</f>
        <v>West</v>
      </c>
      <c r="F111" s="26">
        <f>IFERROR(__xludf.DUMMYFUNCTION("""COMPUTED_VALUE"""),56.65)</f>
        <v>56.65</v>
      </c>
      <c r="G111" s="26">
        <f>IFERROR(__xludf.DUMMYFUNCTION("""COMPUTED_VALUE"""),5.0)</f>
        <v>5</v>
      </c>
      <c r="H111" s="26">
        <f>IFERROR(__xludf.DUMMYFUNCTION("""COMPUTED_VALUE"""),24.3595)</f>
        <v>24.3595</v>
      </c>
    </row>
    <row r="112">
      <c r="A112" s="26" t="str">
        <f>IFERROR(__xludf.DUMMYFUNCTION("""COMPUTED_VALUE"""),"CA-2014-143385")</f>
        <v>CA-2014-143385</v>
      </c>
      <c r="B112" s="27">
        <f>IFERROR(__xludf.DUMMYFUNCTION("""COMPUTED_VALUE"""),41882.0)</f>
        <v>41882</v>
      </c>
      <c r="C112" s="26" t="str">
        <f>IFERROR(__xludf.DUMMYFUNCTION("""COMPUTED_VALUE"""),"Consumer")</f>
        <v>Consumer</v>
      </c>
      <c r="D112" s="26" t="str">
        <f>IFERROR(__xludf.DUMMYFUNCTION("""COMPUTED_VALUE"""),"New Mexico")</f>
        <v>New Mexico</v>
      </c>
      <c r="E112" s="26" t="str">
        <f>IFERROR(__xludf.DUMMYFUNCTION("""COMPUTED_VALUE"""),"West")</f>
        <v>West</v>
      </c>
      <c r="F112" s="26">
        <f>IFERROR(__xludf.DUMMYFUNCTION("""COMPUTED_VALUE"""),92.52)</f>
        <v>92.52</v>
      </c>
      <c r="G112" s="26">
        <f>IFERROR(__xludf.DUMMYFUNCTION("""COMPUTED_VALUE"""),9.0)</f>
        <v>9</v>
      </c>
      <c r="H112" s="26">
        <f>IFERROR(__xludf.DUMMYFUNCTION("""COMPUTED_VALUE"""),18.504)</f>
        <v>18.504</v>
      </c>
    </row>
    <row r="113">
      <c r="A113" s="26" t="str">
        <f>IFERROR(__xludf.DUMMYFUNCTION("""COMPUTED_VALUE"""),"CA-2014-110849")</f>
        <v>CA-2014-110849</v>
      </c>
      <c r="B113" s="27">
        <f>IFERROR(__xludf.DUMMYFUNCTION("""COMPUTED_VALUE"""),41747.0)</f>
        <v>41747</v>
      </c>
      <c r="C113" s="26" t="str">
        <f>IFERROR(__xludf.DUMMYFUNCTION("""COMPUTED_VALUE"""),"Consumer")</f>
        <v>Consumer</v>
      </c>
      <c r="D113" s="26" t="str">
        <f>IFERROR(__xludf.DUMMYFUNCTION("""COMPUTED_VALUE"""),"California")</f>
        <v>California</v>
      </c>
      <c r="E113" s="26" t="str">
        <f>IFERROR(__xludf.DUMMYFUNCTION("""COMPUTED_VALUE"""),"West")</f>
        <v>West</v>
      </c>
      <c r="F113" s="26">
        <f>IFERROR(__xludf.DUMMYFUNCTION("""COMPUTED_VALUE"""),287.968)</f>
        <v>287.968</v>
      </c>
      <c r="G113" s="26">
        <f>IFERROR(__xludf.DUMMYFUNCTION("""COMPUTED_VALUE"""),4.0)</f>
        <v>4</v>
      </c>
      <c r="H113" s="26">
        <f>IFERROR(__xludf.DUMMYFUNCTION("""COMPUTED_VALUE"""),97.1892)</f>
        <v>97.1892</v>
      </c>
    </row>
    <row r="114">
      <c r="A114" s="26" t="str">
        <f>IFERROR(__xludf.DUMMYFUNCTION("""COMPUTED_VALUE"""),"CA-2014-120838")</f>
        <v>CA-2014-120838</v>
      </c>
      <c r="B114" s="27">
        <f>IFERROR(__xludf.DUMMYFUNCTION("""COMPUTED_VALUE"""),41721.0)</f>
        <v>41721</v>
      </c>
      <c r="C114" s="26" t="str">
        <f>IFERROR(__xludf.DUMMYFUNCTION("""COMPUTED_VALUE"""),"Consumer")</f>
        <v>Consumer</v>
      </c>
      <c r="D114" s="26" t="str">
        <f>IFERROR(__xludf.DUMMYFUNCTION("""COMPUTED_VALUE"""),"California")</f>
        <v>California</v>
      </c>
      <c r="E114" s="26" t="str">
        <f>IFERROR(__xludf.DUMMYFUNCTION("""COMPUTED_VALUE"""),"West")</f>
        <v>West</v>
      </c>
      <c r="F114" s="26">
        <f>IFERROR(__xludf.DUMMYFUNCTION("""COMPUTED_VALUE"""),330.4)</f>
        <v>330.4</v>
      </c>
      <c r="G114" s="26">
        <f>IFERROR(__xludf.DUMMYFUNCTION("""COMPUTED_VALUE"""),2.0)</f>
        <v>2</v>
      </c>
      <c r="H114" s="26">
        <f>IFERROR(__xludf.DUMMYFUNCTION("""COMPUTED_VALUE"""),85.904)</f>
        <v>85.904</v>
      </c>
    </row>
    <row r="115">
      <c r="A115" s="26" t="str">
        <f>IFERROR(__xludf.DUMMYFUNCTION("""COMPUTED_VALUE"""),"CA-2014-169726")</f>
        <v>CA-2014-169726</v>
      </c>
      <c r="B115" s="27">
        <f>IFERROR(__xludf.DUMMYFUNCTION("""COMPUTED_VALUE"""),41860.0)</f>
        <v>41860</v>
      </c>
      <c r="C115" s="26" t="str">
        <f>IFERROR(__xludf.DUMMYFUNCTION("""COMPUTED_VALUE"""),"Consumer")</f>
        <v>Consumer</v>
      </c>
      <c r="D115" s="26" t="str">
        <f>IFERROR(__xludf.DUMMYFUNCTION("""COMPUTED_VALUE"""),"Washington")</f>
        <v>Washington</v>
      </c>
      <c r="E115" s="26" t="str">
        <f>IFERROR(__xludf.DUMMYFUNCTION("""COMPUTED_VALUE"""),"West")</f>
        <v>West</v>
      </c>
      <c r="F115" s="26">
        <f>IFERROR(__xludf.DUMMYFUNCTION("""COMPUTED_VALUE"""),2060.744)</f>
        <v>2060.744</v>
      </c>
      <c r="G115" s="26">
        <f>IFERROR(__xludf.DUMMYFUNCTION("""COMPUTED_VALUE"""),7.0)</f>
        <v>7</v>
      </c>
      <c r="H115" s="26">
        <f>IFERROR(__xludf.DUMMYFUNCTION("""COMPUTED_VALUE"""),643.9825)</f>
        <v>643.9825</v>
      </c>
    </row>
    <row r="116">
      <c r="A116" s="26" t="str">
        <f>IFERROR(__xludf.DUMMYFUNCTION("""COMPUTED_VALUE"""),"CA-2014-156594")</f>
        <v>CA-2014-156594</v>
      </c>
      <c r="B116" s="29">
        <f>IFERROR(__xludf.DUMMYFUNCTION("""COMPUTED_VALUE"""),41993.0)</f>
        <v>41993</v>
      </c>
      <c r="C116" s="26" t="str">
        <f>IFERROR(__xludf.DUMMYFUNCTION("""COMPUTED_VALUE"""),"Consumer")</f>
        <v>Consumer</v>
      </c>
      <c r="D116" s="26" t="str">
        <f>IFERROR(__xludf.DUMMYFUNCTION("""COMPUTED_VALUE"""),"California")</f>
        <v>California</v>
      </c>
      <c r="E116" s="26" t="str">
        <f>IFERROR(__xludf.DUMMYFUNCTION("""COMPUTED_VALUE"""),"West")</f>
        <v>West</v>
      </c>
      <c r="F116" s="26">
        <f>IFERROR(__xludf.DUMMYFUNCTION("""COMPUTED_VALUE"""),487.984)</f>
        <v>487.984</v>
      </c>
      <c r="G116" s="26">
        <f>IFERROR(__xludf.DUMMYFUNCTION("""COMPUTED_VALUE"""),2.0)</f>
        <v>2</v>
      </c>
      <c r="H116" s="26">
        <f>IFERROR(__xludf.DUMMYFUNCTION("""COMPUTED_VALUE"""),152.495)</f>
        <v>152.495</v>
      </c>
    </row>
    <row r="117">
      <c r="A117" s="26" t="str">
        <f>IFERROR(__xludf.DUMMYFUNCTION("""COMPUTED_VALUE"""),"CA-2014-146528")</f>
        <v>CA-2014-146528</v>
      </c>
      <c r="B117" s="27">
        <f>IFERROR(__xludf.DUMMYFUNCTION("""COMPUTED_VALUE"""),41845.0)</f>
        <v>41845</v>
      </c>
      <c r="C117" s="26" t="str">
        <f>IFERROR(__xludf.DUMMYFUNCTION("""COMPUTED_VALUE"""),"Home Office")</f>
        <v>Home Office</v>
      </c>
      <c r="D117" s="26" t="str">
        <f>IFERROR(__xludf.DUMMYFUNCTION("""COMPUTED_VALUE"""),"California")</f>
        <v>California</v>
      </c>
      <c r="E117" s="26" t="str">
        <f>IFERROR(__xludf.DUMMYFUNCTION("""COMPUTED_VALUE"""),"West")</f>
        <v>West</v>
      </c>
      <c r="F117" s="26">
        <f>IFERROR(__xludf.DUMMYFUNCTION("""COMPUTED_VALUE"""),6.48)</f>
        <v>6.48</v>
      </c>
      <c r="G117" s="26">
        <f>IFERROR(__xludf.DUMMYFUNCTION("""COMPUTED_VALUE"""),1.0)</f>
        <v>1</v>
      </c>
      <c r="H117" s="26">
        <f>IFERROR(__xludf.DUMMYFUNCTION("""COMPUTED_VALUE"""),3.1752)</f>
        <v>3.1752</v>
      </c>
    </row>
    <row r="118">
      <c r="A118" s="26" t="str">
        <f>IFERROR(__xludf.DUMMYFUNCTION("""COMPUTED_VALUE"""),"CA-2014-129364")</f>
        <v>CA-2014-129364</v>
      </c>
      <c r="B118" s="27">
        <f>IFERROR(__xludf.DUMMYFUNCTION("""COMPUTED_VALUE"""),41981.0)</f>
        <v>41981</v>
      </c>
      <c r="C118" s="26" t="str">
        <f>IFERROR(__xludf.DUMMYFUNCTION("""COMPUTED_VALUE"""),"Consumer")</f>
        <v>Consumer</v>
      </c>
      <c r="D118" s="26" t="str">
        <f>IFERROR(__xludf.DUMMYFUNCTION("""COMPUTED_VALUE"""),"Oregon")</f>
        <v>Oregon</v>
      </c>
      <c r="E118" s="26" t="str">
        <f>IFERROR(__xludf.DUMMYFUNCTION("""COMPUTED_VALUE"""),"West")</f>
        <v>West</v>
      </c>
      <c r="F118" s="26">
        <f>IFERROR(__xludf.DUMMYFUNCTION("""COMPUTED_VALUE"""),27.888)</f>
        <v>27.888</v>
      </c>
      <c r="G118" s="26">
        <f>IFERROR(__xludf.DUMMYFUNCTION("""COMPUTED_VALUE"""),7.0)</f>
        <v>7</v>
      </c>
      <c r="H118" s="26">
        <f>IFERROR(__xludf.DUMMYFUNCTION("""COMPUTED_VALUE"""),9.0636)</f>
        <v>9.0636</v>
      </c>
    </row>
    <row r="119">
      <c r="A119" s="26" t="str">
        <f>IFERROR(__xludf.DUMMYFUNCTION("""COMPUTED_VALUE"""),"CA-2014-140039")</f>
        <v>CA-2014-140039</v>
      </c>
      <c r="B119" s="27">
        <f>IFERROR(__xludf.DUMMYFUNCTION("""COMPUTED_VALUE"""),41895.0)</f>
        <v>41895</v>
      </c>
      <c r="C119" s="26" t="str">
        <f>IFERROR(__xludf.DUMMYFUNCTION("""COMPUTED_VALUE"""),"Corporate")</f>
        <v>Corporate</v>
      </c>
      <c r="D119" s="26" t="str">
        <f>IFERROR(__xludf.DUMMYFUNCTION("""COMPUTED_VALUE"""),"Arizona")</f>
        <v>Arizona</v>
      </c>
      <c r="E119" s="26" t="str">
        <f>IFERROR(__xludf.DUMMYFUNCTION("""COMPUTED_VALUE"""),"West")</f>
        <v>West</v>
      </c>
      <c r="F119" s="26">
        <f>IFERROR(__xludf.DUMMYFUNCTION("""COMPUTED_VALUE"""),79.4)</f>
        <v>79.4</v>
      </c>
      <c r="G119" s="26">
        <f>IFERROR(__xludf.DUMMYFUNCTION("""COMPUTED_VALUE"""),5.0)</f>
        <v>5</v>
      </c>
      <c r="H119" s="26">
        <f>IFERROR(__xludf.DUMMYFUNCTION("""COMPUTED_VALUE"""),5.955)</f>
        <v>5.955</v>
      </c>
    </row>
    <row r="120">
      <c r="A120" s="26" t="str">
        <f>IFERROR(__xludf.DUMMYFUNCTION("""COMPUTED_VALUE"""),"CA-2014-135608")</f>
        <v>CA-2014-135608</v>
      </c>
      <c r="B120" s="27">
        <f>IFERROR(__xludf.DUMMYFUNCTION("""COMPUTED_VALUE"""),41981.0)</f>
        <v>41981</v>
      </c>
      <c r="C120" s="26" t="str">
        <f>IFERROR(__xludf.DUMMYFUNCTION("""COMPUTED_VALUE"""),"Consumer")</f>
        <v>Consumer</v>
      </c>
      <c r="D120" s="26" t="str">
        <f>IFERROR(__xludf.DUMMYFUNCTION("""COMPUTED_VALUE"""),"Washington")</f>
        <v>Washington</v>
      </c>
      <c r="E120" s="26" t="str">
        <f>IFERROR(__xludf.DUMMYFUNCTION("""COMPUTED_VALUE"""),"West")</f>
        <v>West</v>
      </c>
      <c r="F120" s="26">
        <f>IFERROR(__xludf.DUMMYFUNCTION("""COMPUTED_VALUE"""),45.68)</f>
        <v>45.68</v>
      </c>
      <c r="G120" s="26">
        <f>IFERROR(__xludf.DUMMYFUNCTION("""COMPUTED_VALUE"""),2.0)</f>
        <v>2</v>
      </c>
      <c r="H120" s="26">
        <f>IFERROR(__xludf.DUMMYFUNCTION("""COMPUTED_VALUE"""),21.0128)</f>
        <v>21.0128</v>
      </c>
    </row>
    <row r="121">
      <c r="A121" s="26" t="str">
        <f>IFERROR(__xludf.DUMMYFUNCTION("""COMPUTED_VALUE"""),"US-2014-169789")</f>
        <v>US-2014-169789</v>
      </c>
      <c r="B121" s="29">
        <f>IFERROR(__xludf.DUMMYFUNCTION("""COMPUTED_VALUE"""),42003.0)</f>
        <v>42003</v>
      </c>
      <c r="C121" s="26" t="str">
        <f>IFERROR(__xludf.DUMMYFUNCTION("""COMPUTED_VALUE"""),"Corporate")</f>
        <v>Corporate</v>
      </c>
      <c r="D121" s="26" t="str">
        <f>IFERROR(__xludf.DUMMYFUNCTION("""COMPUTED_VALUE"""),"Arizona")</f>
        <v>Arizona</v>
      </c>
      <c r="E121" s="26" t="str">
        <f>IFERROR(__xludf.DUMMYFUNCTION("""COMPUTED_VALUE"""),"West")</f>
        <v>West</v>
      </c>
      <c r="F121" s="26">
        <f>IFERROR(__xludf.DUMMYFUNCTION("""COMPUTED_VALUE"""),551.985)</f>
        <v>551.985</v>
      </c>
      <c r="G121" s="26">
        <f>IFERROR(__xludf.DUMMYFUNCTION("""COMPUTED_VALUE"""),5.0)</f>
        <v>5</v>
      </c>
      <c r="H121" s="26">
        <f>IFERROR(__xludf.DUMMYFUNCTION("""COMPUTED_VALUE"""),-459.9875)</f>
        <v>-459.9875</v>
      </c>
    </row>
    <row r="122">
      <c r="A122" s="26" t="str">
        <f>IFERROR(__xludf.DUMMYFUNCTION("""COMPUTED_VALUE"""),"CA-2014-107139")</f>
        <v>CA-2014-107139</v>
      </c>
      <c r="B122" s="27">
        <f>IFERROR(__xludf.DUMMYFUNCTION("""COMPUTED_VALUE"""),41825.0)</f>
        <v>41825</v>
      </c>
      <c r="C122" s="26" t="str">
        <f>IFERROR(__xludf.DUMMYFUNCTION("""COMPUTED_VALUE"""),"Home Office")</f>
        <v>Home Office</v>
      </c>
      <c r="D122" s="26" t="str">
        <f>IFERROR(__xludf.DUMMYFUNCTION("""COMPUTED_VALUE"""),"California")</f>
        <v>California</v>
      </c>
      <c r="E122" s="26" t="str">
        <f>IFERROR(__xludf.DUMMYFUNCTION("""COMPUTED_VALUE"""),"West")</f>
        <v>West</v>
      </c>
      <c r="F122" s="26">
        <f>IFERROR(__xludf.DUMMYFUNCTION("""COMPUTED_VALUE"""),180.96)</f>
        <v>180.96</v>
      </c>
      <c r="G122" s="26">
        <f>IFERROR(__xludf.DUMMYFUNCTION("""COMPUTED_VALUE"""),6.0)</f>
        <v>6</v>
      </c>
      <c r="H122" s="26">
        <f>IFERROR(__xludf.DUMMYFUNCTION("""COMPUTED_VALUE"""),67.86)</f>
        <v>67.86</v>
      </c>
    </row>
    <row r="123">
      <c r="A123" s="26" t="str">
        <f>IFERROR(__xludf.DUMMYFUNCTION("""COMPUTED_VALUE"""),"US-2014-117163")</f>
        <v>US-2014-117163</v>
      </c>
      <c r="B123" s="27">
        <f>IFERROR(__xludf.DUMMYFUNCTION("""COMPUTED_VALUE"""),41666.0)</f>
        <v>41666</v>
      </c>
      <c r="C123" s="26" t="str">
        <f>IFERROR(__xludf.DUMMYFUNCTION("""COMPUTED_VALUE"""),"Consumer")</f>
        <v>Consumer</v>
      </c>
      <c r="D123" s="26" t="str">
        <f>IFERROR(__xludf.DUMMYFUNCTION("""COMPUTED_VALUE"""),"California")</f>
        <v>California</v>
      </c>
      <c r="E123" s="26" t="str">
        <f>IFERROR(__xludf.DUMMYFUNCTION("""COMPUTED_VALUE"""),"West")</f>
        <v>West</v>
      </c>
      <c r="F123" s="26">
        <f>IFERROR(__xludf.DUMMYFUNCTION("""COMPUTED_VALUE"""),57.23)</f>
        <v>57.23</v>
      </c>
      <c r="G123" s="26">
        <f>IFERROR(__xludf.DUMMYFUNCTION("""COMPUTED_VALUE"""),1.0)</f>
        <v>1</v>
      </c>
      <c r="H123" s="26">
        <f>IFERROR(__xludf.DUMMYFUNCTION("""COMPUTED_VALUE"""),14.3075)</f>
        <v>14.3075</v>
      </c>
    </row>
    <row r="124">
      <c r="A124" s="26" t="str">
        <f>IFERROR(__xludf.DUMMYFUNCTION("""COMPUTED_VALUE"""),"CA-2014-100363")</f>
        <v>CA-2014-100363</v>
      </c>
      <c r="B124" s="27">
        <f>IFERROR(__xludf.DUMMYFUNCTION("""COMPUTED_VALUE"""),41737.0)</f>
        <v>41737</v>
      </c>
      <c r="C124" s="26" t="str">
        <f>IFERROR(__xludf.DUMMYFUNCTION("""COMPUTED_VALUE"""),"Corporate")</f>
        <v>Corporate</v>
      </c>
      <c r="D124" s="26" t="str">
        <f>IFERROR(__xludf.DUMMYFUNCTION("""COMPUTED_VALUE"""),"Arizona")</f>
        <v>Arizona</v>
      </c>
      <c r="E124" s="26" t="str">
        <f>IFERROR(__xludf.DUMMYFUNCTION("""COMPUTED_VALUE"""),"West")</f>
        <v>West</v>
      </c>
      <c r="F124" s="26">
        <f>IFERROR(__xludf.DUMMYFUNCTION("""COMPUTED_VALUE"""),2.368)</f>
        <v>2.368</v>
      </c>
      <c r="G124" s="26">
        <f>IFERROR(__xludf.DUMMYFUNCTION("""COMPUTED_VALUE"""),2.0)</f>
        <v>2</v>
      </c>
      <c r="H124" s="26">
        <f>IFERROR(__xludf.DUMMYFUNCTION("""COMPUTED_VALUE"""),0.8288)</f>
        <v>0.8288</v>
      </c>
    </row>
    <row r="125">
      <c r="A125" s="26" t="str">
        <f>IFERROR(__xludf.DUMMYFUNCTION("""COMPUTED_VALUE"""),"CA-2014-126760")</f>
        <v>CA-2014-126760</v>
      </c>
      <c r="B125" s="27">
        <f>IFERROR(__xludf.DUMMYFUNCTION("""COMPUTED_VALUE"""),41846.0)</f>
        <v>41846</v>
      </c>
      <c r="C125" s="26" t="str">
        <f>IFERROR(__xludf.DUMMYFUNCTION("""COMPUTED_VALUE"""),"Consumer")</f>
        <v>Consumer</v>
      </c>
      <c r="D125" s="26" t="str">
        <f>IFERROR(__xludf.DUMMYFUNCTION("""COMPUTED_VALUE"""),"Nevada")</f>
        <v>Nevada</v>
      </c>
      <c r="E125" s="26" t="str">
        <f>IFERROR(__xludf.DUMMYFUNCTION("""COMPUTED_VALUE"""),"West")</f>
        <v>West</v>
      </c>
      <c r="F125" s="26">
        <f>IFERROR(__xludf.DUMMYFUNCTION("""COMPUTED_VALUE"""),911.984)</f>
        <v>911.984</v>
      </c>
      <c r="G125" s="26">
        <f>IFERROR(__xludf.DUMMYFUNCTION("""COMPUTED_VALUE"""),2.0)</f>
        <v>2</v>
      </c>
      <c r="H125" s="26">
        <f>IFERROR(__xludf.DUMMYFUNCTION("""COMPUTED_VALUE"""),113.998)</f>
        <v>113.998</v>
      </c>
    </row>
    <row r="126">
      <c r="A126" s="26" t="str">
        <f>IFERROR(__xludf.DUMMYFUNCTION("""COMPUTED_VALUE"""),"CA-2014-101931")</f>
        <v>CA-2014-101931</v>
      </c>
      <c r="B126" s="29">
        <f>IFERROR(__xludf.DUMMYFUNCTION("""COMPUTED_VALUE"""),41940.0)</f>
        <v>41940</v>
      </c>
      <c r="C126" s="26" t="str">
        <f>IFERROR(__xludf.DUMMYFUNCTION("""COMPUTED_VALUE"""),"Corporate")</f>
        <v>Corporate</v>
      </c>
      <c r="D126" s="26" t="str">
        <f>IFERROR(__xludf.DUMMYFUNCTION("""COMPUTED_VALUE"""),"California")</f>
        <v>California</v>
      </c>
      <c r="E126" s="26" t="str">
        <f>IFERROR(__xludf.DUMMYFUNCTION("""COMPUTED_VALUE"""),"West")</f>
        <v>West</v>
      </c>
      <c r="F126" s="26">
        <f>IFERROR(__xludf.DUMMYFUNCTION("""COMPUTED_VALUE"""),7.184)</f>
        <v>7.184</v>
      </c>
      <c r="G126" s="26">
        <f>IFERROR(__xludf.DUMMYFUNCTION("""COMPUTED_VALUE"""),2.0)</f>
        <v>2</v>
      </c>
      <c r="H126" s="26">
        <f>IFERROR(__xludf.DUMMYFUNCTION("""COMPUTED_VALUE"""),2.245)</f>
        <v>2.245</v>
      </c>
    </row>
    <row r="127">
      <c r="A127" s="26" t="str">
        <f>IFERROR(__xludf.DUMMYFUNCTION("""COMPUTED_VALUE"""),"CA-2014-140816")</f>
        <v>CA-2014-140816</v>
      </c>
      <c r="B127" s="29">
        <f>IFERROR(__xludf.DUMMYFUNCTION("""COMPUTED_VALUE"""),41993.0)</f>
        <v>41993</v>
      </c>
      <c r="C127" s="26" t="str">
        <f>IFERROR(__xludf.DUMMYFUNCTION("""COMPUTED_VALUE"""),"Consumer")</f>
        <v>Consumer</v>
      </c>
      <c r="D127" s="26" t="str">
        <f>IFERROR(__xludf.DUMMYFUNCTION("""COMPUTED_VALUE"""),"Colorado")</f>
        <v>Colorado</v>
      </c>
      <c r="E127" s="26" t="str">
        <f>IFERROR(__xludf.DUMMYFUNCTION("""COMPUTED_VALUE"""),"West")</f>
        <v>West</v>
      </c>
      <c r="F127" s="26">
        <f>IFERROR(__xludf.DUMMYFUNCTION("""COMPUTED_VALUE"""),447.944)</f>
        <v>447.944</v>
      </c>
      <c r="G127" s="26">
        <f>IFERROR(__xludf.DUMMYFUNCTION("""COMPUTED_VALUE"""),7.0)</f>
        <v>7</v>
      </c>
      <c r="H127" s="26">
        <f>IFERROR(__xludf.DUMMYFUNCTION("""COMPUTED_VALUE"""),89.5888)</f>
        <v>89.5888</v>
      </c>
    </row>
    <row r="128">
      <c r="A128" s="26" t="str">
        <f>IFERROR(__xludf.DUMMYFUNCTION("""COMPUTED_VALUE"""),"CA-2014-124709")</f>
        <v>CA-2014-124709</v>
      </c>
      <c r="B128" s="27">
        <f>IFERROR(__xludf.DUMMYFUNCTION("""COMPUTED_VALUE"""),41847.0)</f>
        <v>41847</v>
      </c>
      <c r="C128" s="26" t="str">
        <f>IFERROR(__xludf.DUMMYFUNCTION("""COMPUTED_VALUE"""),"Consumer")</f>
        <v>Consumer</v>
      </c>
      <c r="D128" s="26" t="str">
        <f>IFERROR(__xludf.DUMMYFUNCTION("""COMPUTED_VALUE"""),"California")</f>
        <v>California</v>
      </c>
      <c r="E128" s="26" t="str">
        <f>IFERROR(__xludf.DUMMYFUNCTION("""COMPUTED_VALUE"""),"West")</f>
        <v>West</v>
      </c>
      <c r="F128" s="26">
        <f>IFERROR(__xludf.DUMMYFUNCTION("""COMPUTED_VALUE"""),238.0)</f>
        <v>238</v>
      </c>
      <c r="G128" s="26">
        <f>IFERROR(__xludf.DUMMYFUNCTION("""COMPUTED_VALUE"""),2.0)</f>
        <v>2</v>
      </c>
      <c r="H128" s="26">
        <f>IFERROR(__xludf.DUMMYFUNCTION("""COMPUTED_VALUE"""),38.08)</f>
        <v>38.08</v>
      </c>
    </row>
    <row r="129">
      <c r="A129" s="26" t="str">
        <f>IFERROR(__xludf.DUMMYFUNCTION("""COMPUTED_VALUE"""),"CA-2014-103940")</f>
        <v>CA-2014-103940</v>
      </c>
      <c r="B129" s="27">
        <f>IFERROR(__xludf.DUMMYFUNCTION("""COMPUTED_VALUE"""),41899.0)</f>
        <v>41899</v>
      </c>
      <c r="C129" s="26" t="str">
        <f>IFERROR(__xludf.DUMMYFUNCTION("""COMPUTED_VALUE"""),"Consumer")</f>
        <v>Consumer</v>
      </c>
      <c r="D129" s="26" t="str">
        <f>IFERROR(__xludf.DUMMYFUNCTION("""COMPUTED_VALUE"""),"Washington")</f>
        <v>Washington</v>
      </c>
      <c r="E129" s="26" t="str">
        <f>IFERROR(__xludf.DUMMYFUNCTION("""COMPUTED_VALUE"""),"West")</f>
        <v>West</v>
      </c>
      <c r="F129" s="26">
        <f>IFERROR(__xludf.DUMMYFUNCTION("""COMPUTED_VALUE"""),30.28)</f>
        <v>30.28</v>
      </c>
      <c r="G129" s="26">
        <f>IFERROR(__xludf.DUMMYFUNCTION("""COMPUTED_VALUE"""),2.0)</f>
        <v>2</v>
      </c>
      <c r="H129" s="26">
        <f>IFERROR(__xludf.DUMMYFUNCTION("""COMPUTED_VALUE"""),1.2112)</f>
        <v>1.2112</v>
      </c>
    </row>
    <row r="130">
      <c r="A130" s="26" t="str">
        <f>IFERROR(__xludf.DUMMYFUNCTION("""COMPUTED_VALUE"""),"CA-2014-135090")</f>
        <v>CA-2014-135090</v>
      </c>
      <c r="B130" s="29">
        <f>IFERROR(__xludf.DUMMYFUNCTION("""COMPUTED_VALUE"""),41965.0)</f>
        <v>41965</v>
      </c>
      <c r="C130" s="26" t="str">
        <f>IFERROR(__xludf.DUMMYFUNCTION("""COMPUTED_VALUE"""),"Consumer")</f>
        <v>Consumer</v>
      </c>
      <c r="D130" s="26" t="str">
        <f>IFERROR(__xludf.DUMMYFUNCTION("""COMPUTED_VALUE"""),"California")</f>
        <v>California</v>
      </c>
      <c r="E130" s="26" t="str">
        <f>IFERROR(__xludf.DUMMYFUNCTION("""COMPUTED_VALUE"""),"West")</f>
        <v>West</v>
      </c>
      <c r="F130" s="26">
        <f>IFERROR(__xludf.DUMMYFUNCTION("""COMPUTED_VALUE"""),53.82)</f>
        <v>53.82</v>
      </c>
      <c r="G130" s="26">
        <f>IFERROR(__xludf.DUMMYFUNCTION("""COMPUTED_VALUE"""),9.0)</f>
        <v>9</v>
      </c>
      <c r="H130" s="26">
        <f>IFERROR(__xludf.DUMMYFUNCTION("""COMPUTED_VALUE"""),24.219)</f>
        <v>24.219</v>
      </c>
    </row>
    <row r="131">
      <c r="A131" s="26" t="str">
        <f>IFERROR(__xludf.DUMMYFUNCTION("""COMPUTED_VALUE"""),"CA-2014-116834")</f>
        <v>CA-2014-116834</v>
      </c>
      <c r="B131" s="29">
        <f>IFERROR(__xludf.DUMMYFUNCTION("""COMPUTED_VALUE"""),41923.0)</f>
        <v>41923</v>
      </c>
      <c r="C131" s="26" t="str">
        <f>IFERROR(__xludf.DUMMYFUNCTION("""COMPUTED_VALUE"""),"Home Office")</f>
        <v>Home Office</v>
      </c>
      <c r="D131" s="26" t="str">
        <f>IFERROR(__xludf.DUMMYFUNCTION("""COMPUTED_VALUE"""),"Washington")</f>
        <v>Washington</v>
      </c>
      <c r="E131" s="26" t="str">
        <f>IFERROR(__xludf.DUMMYFUNCTION("""COMPUTED_VALUE"""),"West")</f>
        <v>West</v>
      </c>
      <c r="F131" s="26">
        <f>IFERROR(__xludf.DUMMYFUNCTION("""COMPUTED_VALUE"""),63.47)</f>
        <v>63.47</v>
      </c>
      <c r="G131" s="26">
        <f>IFERROR(__xludf.DUMMYFUNCTION("""COMPUTED_VALUE"""),11.0)</f>
        <v>11</v>
      </c>
      <c r="H131" s="26">
        <f>IFERROR(__xludf.DUMMYFUNCTION("""COMPUTED_VALUE"""),19.041)</f>
        <v>19.041</v>
      </c>
    </row>
    <row r="132">
      <c r="A132" s="26" t="str">
        <f>IFERROR(__xludf.DUMMYFUNCTION("""COMPUTED_VALUE"""),"CA-2014-110786")</f>
        <v>CA-2014-110786</v>
      </c>
      <c r="B132" s="29">
        <f>IFERROR(__xludf.DUMMYFUNCTION("""COMPUTED_VALUE"""),42002.0)</f>
        <v>42002</v>
      </c>
      <c r="C132" s="26" t="str">
        <f>IFERROR(__xludf.DUMMYFUNCTION("""COMPUTED_VALUE"""),"Corporate")</f>
        <v>Corporate</v>
      </c>
      <c r="D132" s="26" t="str">
        <f>IFERROR(__xludf.DUMMYFUNCTION("""COMPUTED_VALUE"""),"California")</f>
        <v>California</v>
      </c>
      <c r="E132" s="26" t="str">
        <f>IFERROR(__xludf.DUMMYFUNCTION("""COMPUTED_VALUE"""),"West")</f>
        <v>West</v>
      </c>
      <c r="F132" s="26">
        <f>IFERROR(__xludf.DUMMYFUNCTION("""COMPUTED_VALUE"""),24.9)</f>
        <v>24.9</v>
      </c>
      <c r="G132" s="26">
        <f>IFERROR(__xludf.DUMMYFUNCTION("""COMPUTED_VALUE"""),5.0)</f>
        <v>5</v>
      </c>
      <c r="H132" s="26">
        <f>IFERROR(__xludf.DUMMYFUNCTION("""COMPUTED_VALUE"""),8.217)</f>
        <v>8.217</v>
      </c>
    </row>
    <row r="133">
      <c r="A133" s="26" t="str">
        <f>IFERROR(__xludf.DUMMYFUNCTION("""COMPUTED_VALUE"""),"CA-2014-157924")</f>
        <v>CA-2014-157924</v>
      </c>
      <c r="B133" s="29">
        <f>IFERROR(__xludf.DUMMYFUNCTION("""COMPUTED_VALUE"""),41923.0)</f>
        <v>41923</v>
      </c>
      <c r="C133" s="26" t="str">
        <f>IFERROR(__xludf.DUMMYFUNCTION("""COMPUTED_VALUE"""),"Consumer")</f>
        <v>Consumer</v>
      </c>
      <c r="D133" s="26" t="str">
        <f>IFERROR(__xludf.DUMMYFUNCTION("""COMPUTED_VALUE"""),"California")</f>
        <v>California</v>
      </c>
      <c r="E133" s="26" t="str">
        <f>IFERROR(__xludf.DUMMYFUNCTION("""COMPUTED_VALUE"""),"West")</f>
        <v>West</v>
      </c>
      <c r="F133" s="26">
        <f>IFERROR(__xludf.DUMMYFUNCTION("""COMPUTED_VALUE"""),31.92)</f>
        <v>31.92</v>
      </c>
      <c r="G133" s="26">
        <f>IFERROR(__xludf.DUMMYFUNCTION("""COMPUTED_VALUE"""),4.0)</f>
        <v>4</v>
      </c>
      <c r="H133" s="26">
        <f>IFERROR(__xludf.DUMMYFUNCTION("""COMPUTED_VALUE"""),8.2992)</f>
        <v>8.2992</v>
      </c>
    </row>
    <row r="134">
      <c r="A134" s="26" t="str">
        <f>IFERROR(__xludf.DUMMYFUNCTION("""COMPUTED_VALUE"""),"CA-2014-133704")</f>
        <v>CA-2014-133704</v>
      </c>
      <c r="B134" s="27">
        <f>IFERROR(__xludf.DUMMYFUNCTION("""COMPUTED_VALUE"""),41902.0)</f>
        <v>41902</v>
      </c>
      <c r="C134" s="26" t="str">
        <f>IFERROR(__xludf.DUMMYFUNCTION("""COMPUTED_VALUE"""),"Home Office")</f>
        <v>Home Office</v>
      </c>
      <c r="D134" s="26" t="str">
        <f>IFERROR(__xludf.DUMMYFUNCTION("""COMPUTED_VALUE"""),"California")</f>
        <v>California</v>
      </c>
      <c r="E134" s="26" t="str">
        <f>IFERROR(__xludf.DUMMYFUNCTION("""COMPUTED_VALUE"""),"West")</f>
        <v>West</v>
      </c>
      <c r="F134" s="26">
        <f>IFERROR(__xludf.DUMMYFUNCTION("""COMPUTED_VALUE"""),43.92)</f>
        <v>43.92</v>
      </c>
      <c r="G134" s="26">
        <f>IFERROR(__xludf.DUMMYFUNCTION("""COMPUTED_VALUE"""),4.0)</f>
        <v>4</v>
      </c>
      <c r="H134" s="26">
        <f>IFERROR(__xludf.DUMMYFUNCTION("""COMPUTED_VALUE"""),11.8584)</f>
        <v>11.8584</v>
      </c>
    </row>
    <row r="135">
      <c r="A135" s="26" t="str">
        <f>IFERROR(__xludf.DUMMYFUNCTION("""COMPUTED_VALUE"""),"CA-2014-138436")</f>
        <v>CA-2014-138436</v>
      </c>
      <c r="B135" s="27">
        <f>IFERROR(__xludf.DUMMYFUNCTION("""COMPUTED_VALUE"""),41724.0)</f>
        <v>41724</v>
      </c>
      <c r="C135" s="26" t="str">
        <f>IFERROR(__xludf.DUMMYFUNCTION("""COMPUTED_VALUE"""),"Corporate")</f>
        <v>Corporate</v>
      </c>
      <c r="D135" s="26" t="str">
        <f>IFERROR(__xludf.DUMMYFUNCTION("""COMPUTED_VALUE"""),"California")</f>
        <v>California</v>
      </c>
      <c r="E135" s="26" t="str">
        <f>IFERROR(__xludf.DUMMYFUNCTION("""COMPUTED_VALUE"""),"West")</f>
        <v>West</v>
      </c>
      <c r="F135" s="26">
        <f>IFERROR(__xludf.DUMMYFUNCTION("""COMPUTED_VALUE"""),66.3)</f>
        <v>66.3</v>
      </c>
      <c r="G135" s="26">
        <f>IFERROR(__xludf.DUMMYFUNCTION("""COMPUTED_VALUE"""),3.0)</f>
        <v>3</v>
      </c>
      <c r="H135" s="26">
        <f>IFERROR(__xludf.DUMMYFUNCTION("""COMPUTED_VALUE"""),8.619)</f>
        <v>8.619</v>
      </c>
    </row>
    <row r="136">
      <c r="A136" s="26" t="str">
        <f>IFERROR(__xludf.DUMMYFUNCTION("""COMPUTED_VALUE"""),"CA-2014-162278")</f>
        <v>CA-2014-162278</v>
      </c>
      <c r="B136" s="29">
        <f>IFERROR(__xludf.DUMMYFUNCTION("""COMPUTED_VALUE"""),41938.0)</f>
        <v>41938</v>
      </c>
      <c r="C136" s="26" t="str">
        <f>IFERROR(__xludf.DUMMYFUNCTION("""COMPUTED_VALUE"""),"Consumer")</f>
        <v>Consumer</v>
      </c>
      <c r="D136" s="26" t="str">
        <f>IFERROR(__xludf.DUMMYFUNCTION("""COMPUTED_VALUE"""),"Washington")</f>
        <v>Washington</v>
      </c>
      <c r="E136" s="26" t="str">
        <f>IFERROR(__xludf.DUMMYFUNCTION("""COMPUTED_VALUE"""),"West")</f>
        <v>West</v>
      </c>
      <c r="F136" s="26">
        <f>IFERROR(__xludf.DUMMYFUNCTION("""COMPUTED_VALUE"""),63.92)</f>
        <v>63.92</v>
      </c>
      <c r="G136" s="26">
        <f>IFERROR(__xludf.DUMMYFUNCTION("""COMPUTED_VALUE"""),4.0)</f>
        <v>4</v>
      </c>
      <c r="H136" s="26">
        <f>IFERROR(__xludf.DUMMYFUNCTION("""COMPUTED_VALUE"""),3.196)</f>
        <v>3.196</v>
      </c>
    </row>
    <row r="137">
      <c r="A137" s="26" t="str">
        <f>IFERROR(__xludf.DUMMYFUNCTION("""COMPUTED_VALUE"""),"CA-2014-125829")</f>
        <v>CA-2014-125829</v>
      </c>
      <c r="B137" s="27">
        <f>IFERROR(__xludf.DUMMYFUNCTION("""COMPUTED_VALUE"""),41947.0)</f>
        <v>41947</v>
      </c>
      <c r="C137" s="26" t="str">
        <f>IFERROR(__xludf.DUMMYFUNCTION("""COMPUTED_VALUE"""),"Consumer")</f>
        <v>Consumer</v>
      </c>
      <c r="D137" s="26" t="str">
        <f>IFERROR(__xludf.DUMMYFUNCTION("""COMPUTED_VALUE"""),"California")</f>
        <v>California</v>
      </c>
      <c r="E137" s="26" t="str">
        <f>IFERROR(__xludf.DUMMYFUNCTION("""COMPUTED_VALUE"""),"West")</f>
        <v>West</v>
      </c>
      <c r="F137" s="26">
        <f>IFERROR(__xludf.DUMMYFUNCTION("""COMPUTED_VALUE"""),666.344)</f>
        <v>666.344</v>
      </c>
      <c r="G137" s="26">
        <f>IFERROR(__xludf.DUMMYFUNCTION("""COMPUTED_VALUE"""),7.0)</f>
        <v>7</v>
      </c>
      <c r="H137" s="26">
        <f>IFERROR(__xludf.DUMMYFUNCTION("""COMPUTED_VALUE"""),66.6344)</f>
        <v>66.6344</v>
      </c>
    </row>
    <row r="138">
      <c r="A138" s="26" t="str">
        <f>IFERROR(__xludf.DUMMYFUNCTION("""COMPUTED_VALUE"""),"CA-2014-152345")</f>
        <v>CA-2014-152345</v>
      </c>
      <c r="B138" s="29">
        <f>IFERROR(__xludf.DUMMYFUNCTION("""COMPUTED_VALUE"""),42002.0)</f>
        <v>42002</v>
      </c>
      <c r="C138" s="26" t="str">
        <f>IFERROR(__xludf.DUMMYFUNCTION("""COMPUTED_VALUE"""),"Consumer")</f>
        <v>Consumer</v>
      </c>
      <c r="D138" s="26" t="str">
        <f>IFERROR(__xludf.DUMMYFUNCTION("""COMPUTED_VALUE"""),"New Mexico")</f>
        <v>New Mexico</v>
      </c>
      <c r="E138" s="26" t="str">
        <f>IFERROR(__xludf.DUMMYFUNCTION("""COMPUTED_VALUE"""),"West")</f>
        <v>West</v>
      </c>
      <c r="F138" s="26">
        <f>IFERROR(__xludf.DUMMYFUNCTION("""COMPUTED_VALUE"""),23.976)</f>
        <v>23.976</v>
      </c>
      <c r="G138" s="26">
        <f>IFERROR(__xludf.DUMMYFUNCTION("""COMPUTED_VALUE"""),3.0)</f>
        <v>3</v>
      </c>
      <c r="H138" s="26">
        <f>IFERROR(__xludf.DUMMYFUNCTION("""COMPUTED_VALUE"""),-5.6943)</f>
        <v>-5.6943</v>
      </c>
    </row>
    <row r="139">
      <c r="A139" s="26" t="str">
        <f>IFERROR(__xludf.DUMMYFUNCTION("""COMPUTED_VALUE"""),"CA-2014-166954")</f>
        <v>CA-2014-166954</v>
      </c>
      <c r="B139" s="27">
        <f>IFERROR(__xludf.DUMMYFUNCTION("""COMPUTED_VALUE"""),41754.0)</f>
        <v>41754</v>
      </c>
      <c r="C139" s="26" t="str">
        <f>IFERROR(__xludf.DUMMYFUNCTION("""COMPUTED_VALUE"""),"Home Office")</f>
        <v>Home Office</v>
      </c>
      <c r="D139" s="26" t="str">
        <f>IFERROR(__xludf.DUMMYFUNCTION("""COMPUTED_VALUE"""),"California")</f>
        <v>California</v>
      </c>
      <c r="E139" s="26" t="str">
        <f>IFERROR(__xludf.DUMMYFUNCTION("""COMPUTED_VALUE"""),"West")</f>
        <v>West</v>
      </c>
      <c r="F139" s="26">
        <f>IFERROR(__xludf.DUMMYFUNCTION("""COMPUTED_VALUE"""),303.25)</f>
        <v>303.25</v>
      </c>
      <c r="G139" s="26">
        <f>IFERROR(__xludf.DUMMYFUNCTION("""COMPUTED_VALUE"""),5.0)</f>
        <v>5</v>
      </c>
      <c r="H139" s="26">
        <f>IFERROR(__xludf.DUMMYFUNCTION("""COMPUTED_VALUE"""),63.6825)</f>
        <v>63.6825</v>
      </c>
    </row>
    <row r="140">
      <c r="A140" s="26" t="str">
        <f>IFERROR(__xludf.DUMMYFUNCTION("""COMPUTED_VALUE"""),"US-2014-154879")</f>
        <v>US-2014-154879</v>
      </c>
      <c r="B140" s="27">
        <f>IFERROR(__xludf.DUMMYFUNCTION("""COMPUTED_VALUE"""),41765.0)</f>
        <v>41765</v>
      </c>
      <c r="C140" s="26" t="str">
        <f>IFERROR(__xludf.DUMMYFUNCTION("""COMPUTED_VALUE"""),"Home Office")</f>
        <v>Home Office</v>
      </c>
      <c r="D140" s="26" t="str">
        <f>IFERROR(__xludf.DUMMYFUNCTION("""COMPUTED_VALUE"""),"California")</f>
        <v>California</v>
      </c>
      <c r="E140" s="26" t="str">
        <f>IFERROR(__xludf.DUMMYFUNCTION("""COMPUTED_VALUE"""),"West")</f>
        <v>West</v>
      </c>
      <c r="F140" s="26">
        <f>IFERROR(__xludf.DUMMYFUNCTION("""COMPUTED_VALUE"""),5.78)</f>
        <v>5.78</v>
      </c>
      <c r="G140" s="26">
        <f>IFERROR(__xludf.DUMMYFUNCTION("""COMPUTED_VALUE"""),2.0)</f>
        <v>2</v>
      </c>
      <c r="H140" s="26">
        <f>IFERROR(__xludf.DUMMYFUNCTION("""COMPUTED_VALUE"""),2.7166)</f>
        <v>2.7166</v>
      </c>
    </row>
    <row r="141">
      <c r="A141" s="26" t="str">
        <f>IFERROR(__xludf.DUMMYFUNCTION("""COMPUTED_VALUE"""),"CA-2014-153983")</f>
        <v>CA-2014-153983</v>
      </c>
      <c r="B141" s="29">
        <f>IFERROR(__xludf.DUMMYFUNCTION("""COMPUTED_VALUE"""),41972.0)</f>
        <v>41972</v>
      </c>
      <c r="C141" s="26" t="str">
        <f>IFERROR(__xludf.DUMMYFUNCTION("""COMPUTED_VALUE"""),"Consumer")</f>
        <v>Consumer</v>
      </c>
      <c r="D141" s="26" t="str">
        <f>IFERROR(__xludf.DUMMYFUNCTION("""COMPUTED_VALUE"""),"California")</f>
        <v>California</v>
      </c>
      <c r="E141" s="26" t="str">
        <f>IFERROR(__xludf.DUMMYFUNCTION("""COMPUTED_VALUE"""),"West")</f>
        <v>West</v>
      </c>
      <c r="F141" s="26">
        <f>IFERROR(__xludf.DUMMYFUNCTION("""COMPUTED_VALUE"""),575.92)</f>
        <v>575.92</v>
      </c>
      <c r="G141" s="26">
        <f>IFERROR(__xludf.DUMMYFUNCTION("""COMPUTED_VALUE"""),2.0)</f>
        <v>2</v>
      </c>
      <c r="H141" s="26">
        <f>IFERROR(__xludf.DUMMYFUNCTION("""COMPUTED_VALUE"""),71.99)</f>
        <v>71.99</v>
      </c>
    </row>
    <row r="142">
      <c r="A142" s="26" t="str">
        <f>IFERROR(__xludf.DUMMYFUNCTION("""COMPUTED_VALUE"""),"CA-2014-103401")</f>
        <v>CA-2014-103401</v>
      </c>
      <c r="B142" s="29">
        <f>IFERROR(__xludf.DUMMYFUNCTION("""COMPUTED_VALUE"""),41964.0)</f>
        <v>41964</v>
      </c>
      <c r="C142" s="26" t="str">
        <f>IFERROR(__xludf.DUMMYFUNCTION("""COMPUTED_VALUE"""),"Corporate")</f>
        <v>Corporate</v>
      </c>
      <c r="D142" s="26" t="str">
        <f>IFERROR(__xludf.DUMMYFUNCTION("""COMPUTED_VALUE"""),"California")</f>
        <v>California</v>
      </c>
      <c r="E142" s="26" t="str">
        <f>IFERROR(__xludf.DUMMYFUNCTION("""COMPUTED_VALUE"""),"West")</f>
        <v>West</v>
      </c>
      <c r="F142" s="26">
        <f>IFERROR(__xludf.DUMMYFUNCTION("""COMPUTED_VALUE"""),12.96)</f>
        <v>12.96</v>
      </c>
      <c r="G142" s="26">
        <f>IFERROR(__xludf.DUMMYFUNCTION("""COMPUTED_VALUE"""),2.0)</f>
        <v>2</v>
      </c>
      <c r="H142" s="26">
        <f>IFERROR(__xludf.DUMMYFUNCTION("""COMPUTED_VALUE"""),6.2208)</f>
        <v>6.2208</v>
      </c>
    </row>
    <row r="143">
      <c r="A143" s="26" t="str">
        <f>IFERROR(__xludf.DUMMYFUNCTION("""COMPUTED_VALUE"""),"US-2014-138247")</f>
        <v>US-2014-138247</v>
      </c>
      <c r="B143" s="29">
        <f>IFERROR(__xludf.DUMMYFUNCTION("""COMPUTED_VALUE"""),41997.0)</f>
        <v>41997</v>
      </c>
      <c r="C143" s="26" t="str">
        <f>IFERROR(__xludf.DUMMYFUNCTION("""COMPUTED_VALUE"""),"Home Office")</f>
        <v>Home Office</v>
      </c>
      <c r="D143" s="26" t="str">
        <f>IFERROR(__xludf.DUMMYFUNCTION("""COMPUTED_VALUE"""),"California")</f>
        <v>California</v>
      </c>
      <c r="E143" s="26" t="str">
        <f>IFERROR(__xludf.DUMMYFUNCTION("""COMPUTED_VALUE"""),"West")</f>
        <v>West</v>
      </c>
      <c r="F143" s="26">
        <f>IFERROR(__xludf.DUMMYFUNCTION("""COMPUTED_VALUE"""),173.656)</f>
        <v>173.656</v>
      </c>
      <c r="G143" s="26">
        <f>IFERROR(__xludf.DUMMYFUNCTION("""COMPUTED_VALUE"""),7.0)</f>
        <v>7</v>
      </c>
      <c r="H143" s="26">
        <f>IFERROR(__xludf.DUMMYFUNCTION("""COMPUTED_VALUE"""),17.3656)</f>
        <v>17.3656</v>
      </c>
    </row>
    <row r="144">
      <c r="A144" s="26" t="str">
        <f>IFERROR(__xludf.DUMMYFUNCTION("""COMPUTED_VALUE"""),"CA-2014-140403")</f>
        <v>CA-2014-140403</v>
      </c>
      <c r="B144" s="29">
        <f>IFERROR(__xludf.DUMMYFUNCTION("""COMPUTED_VALUE"""),41922.0)</f>
        <v>41922</v>
      </c>
      <c r="C144" s="26" t="str">
        <f>IFERROR(__xludf.DUMMYFUNCTION("""COMPUTED_VALUE"""),"Home Office")</f>
        <v>Home Office</v>
      </c>
      <c r="D144" s="26" t="str">
        <f>IFERROR(__xludf.DUMMYFUNCTION("""COMPUTED_VALUE"""),"California")</f>
        <v>California</v>
      </c>
      <c r="E144" s="26" t="str">
        <f>IFERROR(__xludf.DUMMYFUNCTION("""COMPUTED_VALUE"""),"West")</f>
        <v>West</v>
      </c>
      <c r="F144" s="26">
        <f>IFERROR(__xludf.DUMMYFUNCTION("""COMPUTED_VALUE"""),122.352)</f>
        <v>122.352</v>
      </c>
      <c r="G144" s="26">
        <f>IFERROR(__xludf.DUMMYFUNCTION("""COMPUTED_VALUE"""),3.0)</f>
        <v>3</v>
      </c>
      <c r="H144" s="26">
        <f>IFERROR(__xludf.DUMMYFUNCTION("""COMPUTED_VALUE"""),13.7646)</f>
        <v>13.7646</v>
      </c>
    </row>
    <row r="145">
      <c r="A145" s="26" t="str">
        <f>IFERROR(__xludf.DUMMYFUNCTION("""COMPUTED_VALUE"""),"US-2014-165862")</f>
        <v>US-2014-165862</v>
      </c>
      <c r="B145" s="27">
        <f>IFERROR(__xludf.DUMMYFUNCTION("""COMPUTED_VALUE"""),41833.0)</f>
        <v>41833</v>
      </c>
      <c r="C145" s="26" t="str">
        <f>IFERROR(__xludf.DUMMYFUNCTION("""COMPUTED_VALUE"""),"Corporate")</f>
        <v>Corporate</v>
      </c>
      <c r="D145" s="26" t="str">
        <f>IFERROR(__xludf.DUMMYFUNCTION("""COMPUTED_VALUE"""),"California")</f>
        <v>California</v>
      </c>
      <c r="E145" s="26" t="str">
        <f>IFERROR(__xludf.DUMMYFUNCTION("""COMPUTED_VALUE"""),"West")</f>
        <v>West</v>
      </c>
      <c r="F145" s="26">
        <f>IFERROR(__xludf.DUMMYFUNCTION("""COMPUTED_VALUE"""),351.216)</f>
        <v>351.216</v>
      </c>
      <c r="G145" s="26">
        <f>IFERROR(__xludf.DUMMYFUNCTION("""COMPUTED_VALUE"""),3.0)</f>
        <v>3</v>
      </c>
      <c r="H145" s="26">
        <f>IFERROR(__xludf.DUMMYFUNCTION("""COMPUTED_VALUE"""),4.3902)</f>
        <v>4.3902</v>
      </c>
    </row>
    <row r="146">
      <c r="A146" s="26" t="str">
        <f>IFERROR(__xludf.DUMMYFUNCTION("""COMPUTED_VALUE"""),"US-2014-106334")</f>
        <v>US-2014-106334</v>
      </c>
      <c r="B146" s="29">
        <f>IFERROR(__xludf.DUMMYFUNCTION("""COMPUTED_VALUE"""),42000.0)</f>
        <v>42000</v>
      </c>
      <c r="C146" s="26" t="str">
        <f>IFERROR(__xludf.DUMMYFUNCTION("""COMPUTED_VALUE"""),"Consumer")</f>
        <v>Consumer</v>
      </c>
      <c r="D146" s="26" t="str">
        <f>IFERROR(__xludf.DUMMYFUNCTION("""COMPUTED_VALUE"""),"California")</f>
        <v>California</v>
      </c>
      <c r="E146" s="26" t="str">
        <f>IFERROR(__xludf.DUMMYFUNCTION("""COMPUTED_VALUE"""),"West")</f>
        <v>West</v>
      </c>
      <c r="F146" s="26">
        <f>IFERROR(__xludf.DUMMYFUNCTION("""COMPUTED_VALUE"""),230.28)</f>
        <v>230.28</v>
      </c>
      <c r="G146" s="26">
        <f>IFERROR(__xludf.DUMMYFUNCTION("""COMPUTED_VALUE"""),3.0)</f>
        <v>3</v>
      </c>
      <c r="H146" s="26">
        <f>IFERROR(__xludf.DUMMYFUNCTION("""COMPUTED_VALUE"""),23.028)</f>
        <v>23.028</v>
      </c>
    </row>
    <row r="147">
      <c r="A147" s="26" t="str">
        <f>IFERROR(__xludf.DUMMYFUNCTION("""COMPUTED_VALUE"""),"CA-2014-101175")</f>
        <v>CA-2014-101175</v>
      </c>
      <c r="B147" s="27">
        <f>IFERROR(__xludf.DUMMYFUNCTION("""COMPUTED_VALUE"""),41982.0)</f>
        <v>41982</v>
      </c>
      <c r="C147" s="26" t="str">
        <f>IFERROR(__xludf.DUMMYFUNCTION("""COMPUTED_VALUE"""),"Corporate")</f>
        <v>Corporate</v>
      </c>
      <c r="D147" s="26" t="str">
        <f>IFERROR(__xludf.DUMMYFUNCTION("""COMPUTED_VALUE"""),"Arizona")</f>
        <v>Arizona</v>
      </c>
      <c r="E147" s="26" t="str">
        <f>IFERROR(__xludf.DUMMYFUNCTION("""COMPUTED_VALUE"""),"West")</f>
        <v>West</v>
      </c>
      <c r="F147" s="26">
        <f>IFERROR(__xludf.DUMMYFUNCTION("""COMPUTED_VALUE"""),100.704)</f>
        <v>100.704</v>
      </c>
      <c r="G147" s="26">
        <f>IFERROR(__xludf.DUMMYFUNCTION("""COMPUTED_VALUE"""),6.0)</f>
        <v>6</v>
      </c>
      <c r="H147" s="26">
        <f>IFERROR(__xludf.DUMMYFUNCTION("""COMPUTED_VALUE"""),-1.2588)</f>
        <v>-1.2588</v>
      </c>
    </row>
    <row r="148">
      <c r="A148" s="26" t="str">
        <f>IFERROR(__xludf.DUMMYFUNCTION("""COMPUTED_VALUE"""),"CA-2014-169460")</f>
        <v>CA-2014-169460</v>
      </c>
      <c r="B148" s="27">
        <f>IFERROR(__xludf.DUMMYFUNCTION("""COMPUTED_VALUE"""),41748.0)</f>
        <v>41748</v>
      </c>
      <c r="C148" s="26" t="str">
        <f>IFERROR(__xludf.DUMMYFUNCTION("""COMPUTED_VALUE"""),"Home Office")</f>
        <v>Home Office</v>
      </c>
      <c r="D148" s="26" t="str">
        <f>IFERROR(__xludf.DUMMYFUNCTION("""COMPUTED_VALUE"""),"California")</f>
        <v>California</v>
      </c>
      <c r="E148" s="26" t="str">
        <f>IFERROR(__xludf.DUMMYFUNCTION("""COMPUTED_VALUE"""),"West")</f>
        <v>West</v>
      </c>
      <c r="F148" s="26">
        <f>IFERROR(__xludf.DUMMYFUNCTION("""COMPUTED_VALUE"""),76.14)</f>
        <v>76.14</v>
      </c>
      <c r="G148" s="26">
        <f>IFERROR(__xludf.DUMMYFUNCTION("""COMPUTED_VALUE"""),3.0)</f>
        <v>3</v>
      </c>
      <c r="H148" s="26">
        <f>IFERROR(__xludf.DUMMYFUNCTION("""COMPUTED_VALUE"""),26.649)</f>
        <v>26.649</v>
      </c>
    </row>
    <row r="149">
      <c r="A149" s="26" t="str">
        <f>IFERROR(__xludf.DUMMYFUNCTION("""COMPUTED_VALUE"""),"US-2014-121734")</f>
        <v>US-2014-121734</v>
      </c>
      <c r="B149" s="27">
        <f>IFERROR(__xludf.DUMMYFUNCTION("""COMPUTED_VALUE"""),41740.0)</f>
        <v>41740</v>
      </c>
      <c r="C149" s="26" t="str">
        <f>IFERROR(__xludf.DUMMYFUNCTION("""COMPUTED_VALUE"""),"Consumer")</f>
        <v>Consumer</v>
      </c>
      <c r="D149" s="26" t="str">
        <f>IFERROR(__xludf.DUMMYFUNCTION("""COMPUTED_VALUE"""),"Idaho")</f>
        <v>Idaho</v>
      </c>
      <c r="E149" s="26" t="str">
        <f>IFERROR(__xludf.DUMMYFUNCTION("""COMPUTED_VALUE"""),"West")</f>
        <v>West</v>
      </c>
      <c r="F149" s="26">
        <f>IFERROR(__xludf.DUMMYFUNCTION("""COMPUTED_VALUE"""),9.584)</f>
        <v>9.584</v>
      </c>
      <c r="G149" s="26">
        <f>IFERROR(__xludf.DUMMYFUNCTION("""COMPUTED_VALUE"""),1.0)</f>
        <v>1</v>
      </c>
      <c r="H149" s="26">
        <f>IFERROR(__xludf.DUMMYFUNCTION("""COMPUTED_VALUE"""),3.3544)</f>
        <v>3.3544</v>
      </c>
    </row>
    <row r="150">
      <c r="A150" s="26" t="str">
        <f>IFERROR(__xludf.DUMMYFUNCTION("""COMPUTED_VALUE"""),"CA-2014-114510")</f>
        <v>CA-2014-114510</v>
      </c>
      <c r="B150" s="27">
        <f>IFERROR(__xludf.DUMMYFUNCTION("""COMPUTED_VALUE"""),41712.0)</f>
        <v>41712</v>
      </c>
      <c r="C150" s="26" t="str">
        <f>IFERROR(__xludf.DUMMYFUNCTION("""COMPUTED_VALUE"""),"Consumer")</f>
        <v>Consumer</v>
      </c>
      <c r="D150" s="26" t="str">
        <f>IFERROR(__xludf.DUMMYFUNCTION("""COMPUTED_VALUE"""),"Utah")</f>
        <v>Utah</v>
      </c>
      <c r="E150" s="26" t="str">
        <f>IFERROR(__xludf.DUMMYFUNCTION("""COMPUTED_VALUE"""),"West")</f>
        <v>West</v>
      </c>
      <c r="F150" s="26">
        <f>IFERROR(__xludf.DUMMYFUNCTION("""COMPUTED_VALUE"""),33.088)</f>
        <v>33.088</v>
      </c>
      <c r="G150" s="26">
        <f>IFERROR(__xludf.DUMMYFUNCTION("""COMPUTED_VALUE"""),4.0)</f>
        <v>4</v>
      </c>
      <c r="H150" s="26">
        <f>IFERROR(__xludf.DUMMYFUNCTION("""COMPUTED_VALUE"""),11.1672)</f>
        <v>11.1672</v>
      </c>
    </row>
    <row r="151">
      <c r="A151" s="26" t="str">
        <f>IFERROR(__xludf.DUMMYFUNCTION("""COMPUTED_VALUE"""),"CA-2014-138681")</f>
        <v>CA-2014-138681</v>
      </c>
      <c r="B151" s="29">
        <f>IFERROR(__xludf.DUMMYFUNCTION("""COMPUTED_VALUE"""),41993.0)</f>
        <v>41993</v>
      </c>
      <c r="C151" s="26" t="str">
        <f>IFERROR(__xludf.DUMMYFUNCTION("""COMPUTED_VALUE"""),"Consumer")</f>
        <v>Consumer</v>
      </c>
      <c r="D151" s="26" t="str">
        <f>IFERROR(__xludf.DUMMYFUNCTION("""COMPUTED_VALUE"""),"Arizona")</f>
        <v>Arizona</v>
      </c>
      <c r="E151" s="26" t="str">
        <f>IFERROR(__xludf.DUMMYFUNCTION("""COMPUTED_VALUE"""),"West")</f>
        <v>West</v>
      </c>
      <c r="F151" s="26">
        <f>IFERROR(__xludf.DUMMYFUNCTION("""COMPUTED_VALUE"""),51.968)</f>
        <v>51.968</v>
      </c>
      <c r="G151" s="26">
        <f>IFERROR(__xludf.DUMMYFUNCTION("""COMPUTED_VALUE"""),2.0)</f>
        <v>2</v>
      </c>
      <c r="H151" s="26">
        <f>IFERROR(__xludf.DUMMYFUNCTION("""COMPUTED_VALUE"""),10.3936)</f>
        <v>10.3936</v>
      </c>
    </row>
    <row r="152">
      <c r="A152" s="26" t="str">
        <f>IFERROR(__xludf.DUMMYFUNCTION("""COMPUTED_VALUE"""),"CA-2014-123323")</f>
        <v>CA-2014-123323</v>
      </c>
      <c r="B152" s="27">
        <f>IFERROR(__xludf.DUMMYFUNCTION("""COMPUTED_VALUE"""),41950.0)</f>
        <v>41950</v>
      </c>
      <c r="C152" s="26" t="str">
        <f>IFERROR(__xludf.DUMMYFUNCTION("""COMPUTED_VALUE"""),"Consumer")</f>
        <v>Consumer</v>
      </c>
      <c r="D152" s="26" t="str">
        <f>IFERROR(__xludf.DUMMYFUNCTION("""COMPUTED_VALUE"""),"California")</f>
        <v>California</v>
      </c>
      <c r="E152" s="26" t="str">
        <f>IFERROR(__xludf.DUMMYFUNCTION("""COMPUTED_VALUE"""),"West")</f>
        <v>West</v>
      </c>
      <c r="F152" s="26">
        <f>IFERROR(__xludf.DUMMYFUNCTION("""COMPUTED_VALUE"""),123.144)</f>
        <v>123.144</v>
      </c>
      <c r="G152" s="26">
        <f>IFERROR(__xludf.DUMMYFUNCTION("""COMPUTED_VALUE"""),7.0)</f>
        <v>7</v>
      </c>
      <c r="H152" s="26">
        <f>IFERROR(__xludf.DUMMYFUNCTION("""COMPUTED_VALUE"""),46.179)</f>
        <v>46.179</v>
      </c>
    </row>
    <row r="153">
      <c r="A153" s="26" t="str">
        <f>IFERROR(__xludf.DUMMYFUNCTION("""COMPUTED_VALUE"""),"CA-2014-112851")</f>
        <v>CA-2014-112851</v>
      </c>
      <c r="B153" s="27">
        <f>IFERROR(__xludf.DUMMYFUNCTION("""COMPUTED_VALUE"""),41899.0)</f>
        <v>41899</v>
      </c>
      <c r="C153" s="26" t="str">
        <f>IFERROR(__xludf.DUMMYFUNCTION("""COMPUTED_VALUE"""),"Consumer")</f>
        <v>Consumer</v>
      </c>
      <c r="D153" s="26" t="str">
        <f>IFERROR(__xludf.DUMMYFUNCTION("""COMPUTED_VALUE"""),"California")</f>
        <v>California</v>
      </c>
      <c r="E153" s="26" t="str">
        <f>IFERROR(__xludf.DUMMYFUNCTION("""COMPUTED_VALUE"""),"West")</f>
        <v>West</v>
      </c>
      <c r="F153" s="26">
        <f>IFERROR(__xludf.DUMMYFUNCTION("""COMPUTED_VALUE"""),182.94)</f>
        <v>182.94</v>
      </c>
      <c r="G153" s="26">
        <f>IFERROR(__xludf.DUMMYFUNCTION("""COMPUTED_VALUE"""),3.0)</f>
        <v>3</v>
      </c>
      <c r="H153" s="26">
        <f>IFERROR(__xludf.DUMMYFUNCTION("""COMPUTED_VALUE"""),85.9818)</f>
        <v>85.9818</v>
      </c>
    </row>
    <row r="154">
      <c r="A154" s="26" t="str">
        <f>IFERROR(__xludf.DUMMYFUNCTION("""COMPUTED_VALUE"""),"US-2014-167262")</f>
        <v>US-2014-167262</v>
      </c>
      <c r="B154" s="29">
        <f>IFERROR(__xludf.DUMMYFUNCTION("""COMPUTED_VALUE"""),41943.0)</f>
        <v>41943</v>
      </c>
      <c r="C154" s="26" t="str">
        <f>IFERROR(__xludf.DUMMYFUNCTION("""COMPUTED_VALUE"""),"Consumer")</f>
        <v>Consumer</v>
      </c>
      <c r="D154" s="26" t="str">
        <f>IFERROR(__xludf.DUMMYFUNCTION("""COMPUTED_VALUE"""),"Arizona")</f>
        <v>Arizona</v>
      </c>
      <c r="E154" s="26" t="str">
        <f>IFERROR(__xludf.DUMMYFUNCTION("""COMPUTED_VALUE"""),"West")</f>
        <v>West</v>
      </c>
      <c r="F154" s="26">
        <f>IFERROR(__xludf.DUMMYFUNCTION("""COMPUTED_VALUE"""),742.336)</f>
        <v>742.336</v>
      </c>
      <c r="G154" s="26">
        <f>IFERROR(__xludf.DUMMYFUNCTION("""COMPUTED_VALUE"""),8.0)</f>
        <v>8</v>
      </c>
      <c r="H154" s="26">
        <f>IFERROR(__xludf.DUMMYFUNCTION("""COMPUTED_VALUE"""),83.5128)</f>
        <v>83.5128</v>
      </c>
    </row>
    <row r="155">
      <c r="A155" s="26" t="str">
        <f>IFERROR(__xludf.DUMMYFUNCTION("""COMPUTED_VALUE"""),"US-2014-128685")</f>
        <v>US-2014-128685</v>
      </c>
      <c r="B155" s="27">
        <f>IFERROR(__xludf.DUMMYFUNCTION("""COMPUTED_VALUE"""),41733.0)</f>
        <v>41733</v>
      </c>
      <c r="C155" s="26" t="str">
        <f>IFERROR(__xludf.DUMMYFUNCTION("""COMPUTED_VALUE"""),"Corporate")</f>
        <v>Corporate</v>
      </c>
      <c r="D155" s="26" t="str">
        <f>IFERROR(__xludf.DUMMYFUNCTION("""COMPUTED_VALUE"""),"California")</f>
        <v>California</v>
      </c>
      <c r="E155" s="26" t="str">
        <f>IFERROR(__xludf.DUMMYFUNCTION("""COMPUTED_VALUE"""),"West")</f>
        <v>West</v>
      </c>
      <c r="F155" s="26">
        <f>IFERROR(__xludf.DUMMYFUNCTION("""COMPUTED_VALUE"""),7.184)</f>
        <v>7.184</v>
      </c>
      <c r="G155" s="26">
        <f>IFERROR(__xludf.DUMMYFUNCTION("""COMPUTED_VALUE"""),2.0)</f>
        <v>2</v>
      </c>
      <c r="H155" s="26">
        <f>IFERROR(__xludf.DUMMYFUNCTION("""COMPUTED_VALUE"""),2.245)</f>
        <v>2.245</v>
      </c>
    </row>
    <row r="156">
      <c r="A156" s="26" t="str">
        <f>IFERROR(__xludf.DUMMYFUNCTION("""COMPUTED_VALUE"""),"CA-2014-164469")</f>
        <v>CA-2014-164469</v>
      </c>
      <c r="B156" s="27">
        <f>IFERROR(__xludf.DUMMYFUNCTION("""COMPUTED_VALUE"""),41815.0)</f>
        <v>41815</v>
      </c>
      <c r="C156" s="26" t="str">
        <f>IFERROR(__xludf.DUMMYFUNCTION("""COMPUTED_VALUE"""),"Corporate")</f>
        <v>Corporate</v>
      </c>
      <c r="D156" s="26" t="str">
        <f>IFERROR(__xludf.DUMMYFUNCTION("""COMPUTED_VALUE"""),"Oregon")</f>
        <v>Oregon</v>
      </c>
      <c r="E156" s="26" t="str">
        <f>IFERROR(__xludf.DUMMYFUNCTION("""COMPUTED_VALUE"""),"West")</f>
        <v>West</v>
      </c>
      <c r="F156" s="26">
        <f>IFERROR(__xludf.DUMMYFUNCTION("""COMPUTED_VALUE"""),263.96)</f>
        <v>263.96</v>
      </c>
      <c r="G156" s="26">
        <f>IFERROR(__xludf.DUMMYFUNCTION("""COMPUTED_VALUE"""),5.0)</f>
        <v>5</v>
      </c>
      <c r="H156" s="26">
        <f>IFERROR(__xludf.DUMMYFUNCTION("""COMPUTED_VALUE"""),19.797)</f>
        <v>19.797</v>
      </c>
    </row>
    <row r="157">
      <c r="A157" s="26" t="str">
        <f>IFERROR(__xludf.DUMMYFUNCTION("""COMPUTED_VALUE"""),"CA-2014-107818")</f>
        <v>CA-2014-107818</v>
      </c>
      <c r="B157" s="27">
        <f>IFERROR(__xludf.DUMMYFUNCTION("""COMPUTED_VALUE"""),41890.0)</f>
        <v>41890</v>
      </c>
      <c r="C157" s="26" t="str">
        <f>IFERROR(__xludf.DUMMYFUNCTION("""COMPUTED_VALUE"""),"Consumer")</f>
        <v>Consumer</v>
      </c>
      <c r="D157" s="26" t="str">
        <f>IFERROR(__xludf.DUMMYFUNCTION("""COMPUTED_VALUE"""),"Washington")</f>
        <v>Washington</v>
      </c>
      <c r="E157" s="26" t="str">
        <f>IFERROR(__xludf.DUMMYFUNCTION("""COMPUTED_VALUE"""),"West")</f>
        <v>West</v>
      </c>
      <c r="F157" s="26">
        <f>IFERROR(__xludf.DUMMYFUNCTION("""COMPUTED_VALUE"""),5.88)</f>
        <v>5.88</v>
      </c>
      <c r="G157" s="26">
        <f>IFERROR(__xludf.DUMMYFUNCTION("""COMPUTED_VALUE"""),2.0)</f>
        <v>2</v>
      </c>
      <c r="H157" s="26">
        <f>IFERROR(__xludf.DUMMYFUNCTION("""COMPUTED_VALUE"""),2.646)</f>
        <v>2.646</v>
      </c>
    </row>
    <row r="158">
      <c r="A158" s="26" t="str">
        <f>IFERROR(__xludf.DUMMYFUNCTION("""COMPUTED_VALUE"""),"CA-2014-113320")</f>
        <v>CA-2014-113320</v>
      </c>
      <c r="B158" s="29">
        <f>IFERROR(__xludf.DUMMYFUNCTION("""COMPUTED_VALUE"""),41985.0)</f>
        <v>41985</v>
      </c>
      <c r="C158" s="26" t="str">
        <f>IFERROR(__xludf.DUMMYFUNCTION("""COMPUTED_VALUE"""),"Consumer")</f>
        <v>Consumer</v>
      </c>
      <c r="D158" s="26" t="str">
        <f>IFERROR(__xludf.DUMMYFUNCTION("""COMPUTED_VALUE"""),"California")</f>
        <v>California</v>
      </c>
      <c r="E158" s="26" t="str">
        <f>IFERROR(__xludf.DUMMYFUNCTION("""COMPUTED_VALUE"""),"West")</f>
        <v>West</v>
      </c>
      <c r="F158" s="26">
        <f>IFERROR(__xludf.DUMMYFUNCTION("""COMPUTED_VALUE"""),12.54)</f>
        <v>12.54</v>
      </c>
      <c r="G158" s="26">
        <f>IFERROR(__xludf.DUMMYFUNCTION("""COMPUTED_VALUE"""),3.0)</f>
        <v>3</v>
      </c>
      <c r="H158" s="26">
        <f>IFERROR(__xludf.DUMMYFUNCTION("""COMPUTED_VALUE"""),4.5144)</f>
        <v>4.5144</v>
      </c>
    </row>
    <row r="159">
      <c r="A159" s="26" t="str">
        <f>IFERROR(__xludf.DUMMYFUNCTION("""COMPUTED_VALUE"""),"CA-2014-157147")</f>
        <v>CA-2014-157147</v>
      </c>
      <c r="B159" s="27">
        <f>IFERROR(__xludf.DUMMYFUNCTION("""COMPUTED_VALUE"""),41652.0)</f>
        <v>41652</v>
      </c>
      <c r="C159" s="26" t="str">
        <f>IFERROR(__xludf.DUMMYFUNCTION("""COMPUTED_VALUE"""),"Consumer")</f>
        <v>Consumer</v>
      </c>
      <c r="D159" s="26" t="str">
        <f>IFERROR(__xludf.DUMMYFUNCTION("""COMPUTED_VALUE"""),"California")</f>
        <v>California</v>
      </c>
      <c r="E159" s="26" t="str">
        <f>IFERROR(__xludf.DUMMYFUNCTION("""COMPUTED_VALUE"""),"West")</f>
        <v>West</v>
      </c>
      <c r="F159" s="26">
        <f>IFERROR(__xludf.DUMMYFUNCTION("""COMPUTED_VALUE"""),1325.85)</f>
        <v>1325.85</v>
      </c>
      <c r="G159" s="26">
        <f>IFERROR(__xludf.DUMMYFUNCTION("""COMPUTED_VALUE"""),5.0)</f>
        <v>5</v>
      </c>
      <c r="H159" s="26">
        <f>IFERROR(__xludf.DUMMYFUNCTION("""COMPUTED_VALUE"""),238.653)</f>
        <v>238.653</v>
      </c>
    </row>
    <row r="160">
      <c r="A160" s="26" t="str">
        <f>IFERROR(__xludf.DUMMYFUNCTION("""COMPUTED_VALUE"""),"CA-2014-102085")</f>
        <v>CA-2014-102085</v>
      </c>
      <c r="B160" s="27">
        <f>IFERROR(__xludf.DUMMYFUNCTION("""COMPUTED_VALUE"""),41916.0)</f>
        <v>41916</v>
      </c>
      <c r="C160" s="26" t="str">
        <f>IFERROR(__xludf.DUMMYFUNCTION("""COMPUTED_VALUE"""),"Consumer")</f>
        <v>Consumer</v>
      </c>
      <c r="D160" s="26" t="str">
        <f>IFERROR(__xludf.DUMMYFUNCTION("""COMPUTED_VALUE"""),"Washington")</f>
        <v>Washington</v>
      </c>
      <c r="E160" s="26" t="str">
        <f>IFERROR(__xludf.DUMMYFUNCTION("""COMPUTED_VALUE"""),"West")</f>
        <v>West</v>
      </c>
      <c r="F160" s="26">
        <f>IFERROR(__xludf.DUMMYFUNCTION("""COMPUTED_VALUE"""),29.24)</f>
        <v>29.24</v>
      </c>
      <c r="G160" s="26">
        <f>IFERROR(__xludf.DUMMYFUNCTION("""COMPUTED_VALUE"""),4.0)</f>
        <v>4</v>
      </c>
      <c r="H160" s="26">
        <f>IFERROR(__xludf.DUMMYFUNCTION("""COMPUTED_VALUE"""),13.7428)</f>
        <v>13.7428</v>
      </c>
    </row>
    <row r="161">
      <c r="A161" s="26" t="str">
        <f>IFERROR(__xludf.DUMMYFUNCTION("""COMPUTED_VALUE"""),"CA-2014-160262")</f>
        <v>CA-2014-160262</v>
      </c>
      <c r="B161" s="27">
        <f>IFERROR(__xludf.DUMMYFUNCTION("""COMPUTED_VALUE"""),41799.0)</f>
        <v>41799</v>
      </c>
      <c r="C161" s="26" t="str">
        <f>IFERROR(__xludf.DUMMYFUNCTION("""COMPUTED_VALUE"""),"Corporate")</f>
        <v>Corporate</v>
      </c>
      <c r="D161" s="26" t="str">
        <f>IFERROR(__xludf.DUMMYFUNCTION("""COMPUTED_VALUE"""),"Nevada")</f>
        <v>Nevada</v>
      </c>
      <c r="E161" s="26" t="str">
        <f>IFERROR(__xludf.DUMMYFUNCTION("""COMPUTED_VALUE"""),"West")</f>
        <v>West</v>
      </c>
      <c r="F161" s="26">
        <f>IFERROR(__xludf.DUMMYFUNCTION("""COMPUTED_VALUE"""),18.06)</f>
        <v>18.06</v>
      </c>
      <c r="G161" s="26">
        <f>IFERROR(__xludf.DUMMYFUNCTION("""COMPUTED_VALUE"""),7.0)</f>
        <v>7</v>
      </c>
      <c r="H161" s="26">
        <f>IFERROR(__xludf.DUMMYFUNCTION("""COMPUTED_VALUE"""),4.6956)</f>
        <v>4.6956</v>
      </c>
    </row>
    <row r="162">
      <c r="A162" s="26" t="str">
        <f>IFERROR(__xludf.DUMMYFUNCTION("""COMPUTED_VALUE"""),"CA-2014-156587")</f>
        <v>CA-2014-156587</v>
      </c>
      <c r="B162" s="27">
        <f>IFERROR(__xludf.DUMMYFUNCTION("""COMPUTED_VALUE"""),41705.0)</f>
        <v>41705</v>
      </c>
      <c r="C162" s="26" t="str">
        <f>IFERROR(__xludf.DUMMYFUNCTION("""COMPUTED_VALUE"""),"Consumer")</f>
        <v>Consumer</v>
      </c>
      <c r="D162" s="26" t="str">
        <f>IFERROR(__xludf.DUMMYFUNCTION("""COMPUTED_VALUE"""),"Washington")</f>
        <v>Washington</v>
      </c>
      <c r="E162" s="26" t="str">
        <f>IFERROR(__xludf.DUMMYFUNCTION("""COMPUTED_VALUE"""),"West")</f>
        <v>West</v>
      </c>
      <c r="F162" s="26">
        <f>IFERROR(__xludf.DUMMYFUNCTION("""COMPUTED_VALUE"""),48.712)</f>
        <v>48.712</v>
      </c>
      <c r="G162" s="26">
        <f>IFERROR(__xludf.DUMMYFUNCTION("""COMPUTED_VALUE"""),1.0)</f>
        <v>1</v>
      </c>
      <c r="H162" s="26">
        <f>IFERROR(__xludf.DUMMYFUNCTION("""COMPUTED_VALUE"""),5.4801)</f>
        <v>5.4801</v>
      </c>
    </row>
    <row r="163">
      <c r="A163" s="26" t="str">
        <f>IFERROR(__xludf.DUMMYFUNCTION("""COMPUTED_VALUE"""),"CA-2014-160066")</f>
        <v>CA-2014-160066</v>
      </c>
      <c r="B163" s="29">
        <f>IFERROR(__xludf.DUMMYFUNCTION("""COMPUTED_VALUE"""),41959.0)</f>
        <v>41959</v>
      </c>
      <c r="C163" s="26" t="str">
        <f>IFERROR(__xludf.DUMMYFUNCTION("""COMPUTED_VALUE"""),"Corporate")</f>
        <v>Corporate</v>
      </c>
      <c r="D163" s="26" t="str">
        <f>IFERROR(__xludf.DUMMYFUNCTION("""COMPUTED_VALUE"""),"California")</f>
        <v>California</v>
      </c>
      <c r="E163" s="26" t="str">
        <f>IFERROR(__xludf.DUMMYFUNCTION("""COMPUTED_VALUE"""),"West")</f>
        <v>West</v>
      </c>
      <c r="F163" s="26">
        <f>IFERROR(__xludf.DUMMYFUNCTION("""COMPUTED_VALUE"""),5.22)</f>
        <v>5.22</v>
      </c>
      <c r="G163" s="26">
        <f>IFERROR(__xludf.DUMMYFUNCTION("""COMPUTED_VALUE"""),2.0)</f>
        <v>2</v>
      </c>
      <c r="H163" s="26">
        <f>IFERROR(__xludf.DUMMYFUNCTION("""COMPUTED_VALUE"""),2.4012)</f>
        <v>2.4012</v>
      </c>
    </row>
    <row r="164">
      <c r="A164" s="26" t="str">
        <f>IFERROR(__xludf.DUMMYFUNCTION("""COMPUTED_VALUE"""),"CA-2014-127558")</f>
        <v>CA-2014-127558</v>
      </c>
      <c r="B164" s="29">
        <f>IFERROR(__xludf.DUMMYFUNCTION("""COMPUTED_VALUE"""),41958.0)</f>
        <v>41958</v>
      </c>
      <c r="C164" s="26" t="str">
        <f>IFERROR(__xludf.DUMMYFUNCTION("""COMPUTED_VALUE"""),"Consumer")</f>
        <v>Consumer</v>
      </c>
      <c r="D164" s="26" t="str">
        <f>IFERROR(__xludf.DUMMYFUNCTION("""COMPUTED_VALUE"""),"California")</f>
        <v>California</v>
      </c>
      <c r="E164" s="26" t="str">
        <f>IFERROR(__xludf.DUMMYFUNCTION("""COMPUTED_VALUE"""),"West")</f>
        <v>West</v>
      </c>
      <c r="F164" s="26">
        <f>IFERROR(__xludf.DUMMYFUNCTION("""COMPUTED_VALUE"""),10.11)</f>
        <v>10.11</v>
      </c>
      <c r="G164" s="26">
        <f>IFERROR(__xludf.DUMMYFUNCTION("""COMPUTED_VALUE"""),3.0)</f>
        <v>3</v>
      </c>
      <c r="H164" s="26">
        <f>IFERROR(__xludf.DUMMYFUNCTION("""COMPUTED_VALUE"""),3.2352)</f>
        <v>3.2352</v>
      </c>
    </row>
    <row r="165">
      <c r="A165" s="26" t="str">
        <f>IFERROR(__xludf.DUMMYFUNCTION("""COMPUTED_VALUE"""),"CA-2014-169803")</f>
        <v>CA-2014-169803</v>
      </c>
      <c r="B165" s="27">
        <f>IFERROR(__xludf.DUMMYFUNCTION("""COMPUTED_VALUE"""),41735.0)</f>
        <v>41735</v>
      </c>
      <c r="C165" s="26" t="str">
        <f>IFERROR(__xludf.DUMMYFUNCTION("""COMPUTED_VALUE"""),"Corporate")</f>
        <v>Corporate</v>
      </c>
      <c r="D165" s="26" t="str">
        <f>IFERROR(__xludf.DUMMYFUNCTION("""COMPUTED_VALUE"""),"Washington")</f>
        <v>Washington</v>
      </c>
      <c r="E165" s="26" t="str">
        <f>IFERROR(__xludf.DUMMYFUNCTION("""COMPUTED_VALUE"""),"West")</f>
        <v>West</v>
      </c>
      <c r="F165" s="26">
        <f>IFERROR(__xludf.DUMMYFUNCTION("""COMPUTED_VALUE"""),653.55)</f>
        <v>653.55</v>
      </c>
      <c r="G165" s="26">
        <f>IFERROR(__xludf.DUMMYFUNCTION("""COMPUTED_VALUE"""),3.0)</f>
        <v>3</v>
      </c>
      <c r="H165" s="26">
        <f>IFERROR(__xludf.DUMMYFUNCTION("""COMPUTED_VALUE"""),111.1035)</f>
        <v>111.1035</v>
      </c>
    </row>
    <row r="166">
      <c r="A166" s="26" t="str">
        <f>IFERROR(__xludf.DUMMYFUNCTION("""COMPUTED_VALUE"""),"CA-2014-111192")</f>
        <v>CA-2014-111192</v>
      </c>
      <c r="B166" s="27">
        <f>IFERROR(__xludf.DUMMYFUNCTION("""COMPUTED_VALUE"""),41850.0)</f>
        <v>41850</v>
      </c>
      <c r="C166" s="26" t="str">
        <f>IFERROR(__xludf.DUMMYFUNCTION("""COMPUTED_VALUE"""),"Corporate")</f>
        <v>Corporate</v>
      </c>
      <c r="D166" s="26" t="str">
        <f>IFERROR(__xludf.DUMMYFUNCTION("""COMPUTED_VALUE"""),"Washington")</f>
        <v>Washington</v>
      </c>
      <c r="E166" s="26" t="str">
        <f>IFERROR(__xludf.DUMMYFUNCTION("""COMPUTED_VALUE"""),"West")</f>
        <v>West</v>
      </c>
      <c r="F166" s="26">
        <f>IFERROR(__xludf.DUMMYFUNCTION("""COMPUTED_VALUE"""),1367.84)</f>
        <v>1367.84</v>
      </c>
      <c r="G166" s="26">
        <f>IFERROR(__xludf.DUMMYFUNCTION("""COMPUTED_VALUE"""),8.0)</f>
        <v>8</v>
      </c>
      <c r="H166" s="26">
        <f>IFERROR(__xludf.DUMMYFUNCTION("""COMPUTED_VALUE"""),259.8896)</f>
        <v>259.8896</v>
      </c>
    </row>
    <row r="167">
      <c r="A167" s="26" t="str">
        <f>IFERROR(__xludf.DUMMYFUNCTION("""COMPUTED_VALUE"""),"CA-2014-159709")</f>
        <v>CA-2014-159709</v>
      </c>
      <c r="B167" s="27">
        <f>IFERROR(__xludf.DUMMYFUNCTION("""COMPUTED_VALUE"""),41769.0)</f>
        <v>41769</v>
      </c>
      <c r="C167" s="26" t="str">
        <f>IFERROR(__xludf.DUMMYFUNCTION("""COMPUTED_VALUE"""),"Consumer")</f>
        <v>Consumer</v>
      </c>
      <c r="D167" s="26" t="str">
        <f>IFERROR(__xludf.DUMMYFUNCTION("""COMPUTED_VALUE"""),"Washington")</f>
        <v>Washington</v>
      </c>
      <c r="E167" s="26" t="str">
        <f>IFERROR(__xludf.DUMMYFUNCTION("""COMPUTED_VALUE"""),"West")</f>
        <v>West</v>
      </c>
      <c r="F167" s="26">
        <f>IFERROR(__xludf.DUMMYFUNCTION("""COMPUTED_VALUE"""),158.13)</f>
        <v>158.13</v>
      </c>
      <c r="G167" s="26">
        <f>IFERROR(__xludf.DUMMYFUNCTION("""COMPUTED_VALUE"""),3.0)</f>
        <v>3</v>
      </c>
      <c r="H167" s="26">
        <f>IFERROR(__xludf.DUMMYFUNCTION("""COMPUTED_VALUE"""),77.4837)</f>
        <v>77.4837</v>
      </c>
    </row>
    <row r="168">
      <c r="A168" s="26" t="str">
        <f>IFERROR(__xludf.DUMMYFUNCTION("""COMPUTED_VALUE"""),"US-2014-147648")</f>
        <v>US-2014-147648</v>
      </c>
      <c r="B168" s="29">
        <f>IFERROR(__xludf.DUMMYFUNCTION("""COMPUTED_VALUE"""),41969.0)</f>
        <v>41969</v>
      </c>
      <c r="C168" s="26" t="str">
        <f>IFERROR(__xludf.DUMMYFUNCTION("""COMPUTED_VALUE"""),"Home Office")</f>
        <v>Home Office</v>
      </c>
      <c r="D168" s="26" t="str">
        <f>IFERROR(__xludf.DUMMYFUNCTION("""COMPUTED_VALUE"""),"California")</f>
        <v>California</v>
      </c>
      <c r="E168" s="26" t="str">
        <f>IFERROR(__xludf.DUMMYFUNCTION("""COMPUTED_VALUE"""),"West")</f>
        <v>West</v>
      </c>
      <c r="F168" s="26">
        <f>IFERROR(__xludf.DUMMYFUNCTION("""COMPUTED_VALUE"""),81.98)</f>
        <v>81.98</v>
      </c>
      <c r="G168" s="26">
        <f>IFERROR(__xludf.DUMMYFUNCTION("""COMPUTED_VALUE"""),2.0)</f>
        <v>2</v>
      </c>
      <c r="H168" s="26">
        <f>IFERROR(__xludf.DUMMYFUNCTION("""COMPUTED_VALUE"""),40.1702)</f>
        <v>40.1702</v>
      </c>
    </row>
    <row r="169">
      <c r="A169" s="26" t="str">
        <f>IFERROR(__xludf.DUMMYFUNCTION("""COMPUTED_VALUE"""),"US-2014-131982")</f>
        <v>US-2014-131982</v>
      </c>
      <c r="B169" s="27">
        <f>IFERROR(__xludf.DUMMYFUNCTION("""COMPUTED_VALUE"""),41705.0)</f>
        <v>41705</v>
      </c>
      <c r="C169" s="26" t="str">
        <f>IFERROR(__xludf.DUMMYFUNCTION("""COMPUTED_VALUE"""),"Home Office")</f>
        <v>Home Office</v>
      </c>
      <c r="D169" s="26" t="str">
        <f>IFERROR(__xludf.DUMMYFUNCTION("""COMPUTED_VALUE"""),"Washington")</f>
        <v>Washington</v>
      </c>
      <c r="E169" s="26" t="str">
        <f>IFERROR(__xludf.DUMMYFUNCTION("""COMPUTED_VALUE"""),"West")</f>
        <v>West</v>
      </c>
      <c r="F169" s="26">
        <f>IFERROR(__xludf.DUMMYFUNCTION("""COMPUTED_VALUE"""),107.648)</f>
        <v>107.648</v>
      </c>
      <c r="G169" s="26">
        <f>IFERROR(__xludf.DUMMYFUNCTION("""COMPUTED_VALUE"""),2.0)</f>
        <v>2</v>
      </c>
      <c r="H169" s="26">
        <f>IFERROR(__xludf.DUMMYFUNCTION("""COMPUTED_VALUE"""),33.64)</f>
        <v>33.64</v>
      </c>
    </row>
    <row r="170">
      <c r="A170" s="26" t="str">
        <f>IFERROR(__xludf.DUMMYFUNCTION("""COMPUTED_VALUE"""),"CA-2014-133424")</f>
        <v>CA-2014-133424</v>
      </c>
      <c r="B170" s="27">
        <f>IFERROR(__xludf.DUMMYFUNCTION("""COMPUTED_VALUE"""),41728.0)</f>
        <v>41728</v>
      </c>
      <c r="C170" s="26" t="str">
        <f>IFERROR(__xludf.DUMMYFUNCTION("""COMPUTED_VALUE"""),"Corporate")</f>
        <v>Corporate</v>
      </c>
      <c r="D170" s="26" t="str">
        <f>IFERROR(__xludf.DUMMYFUNCTION("""COMPUTED_VALUE"""),"Washington")</f>
        <v>Washington</v>
      </c>
      <c r="E170" s="26" t="str">
        <f>IFERROR(__xludf.DUMMYFUNCTION("""COMPUTED_VALUE"""),"West")</f>
        <v>West</v>
      </c>
      <c r="F170" s="26">
        <f>IFERROR(__xludf.DUMMYFUNCTION("""COMPUTED_VALUE"""),15.84)</f>
        <v>15.84</v>
      </c>
      <c r="G170" s="26">
        <f>IFERROR(__xludf.DUMMYFUNCTION("""COMPUTED_VALUE"""),3.0)</f>
        <v>3</v>
      </c>
      <c r="H170" s="26">
        <f>IFERROR(__xludf.DUMMYFUNCTION("""COMPUTED_VALUE"""),0.0)</f>
        <v>0</v>
      </c>
    </row>
    <row r="171">
      <c r="A171" s="26" t="str">
        <f>IFERROR(__xludf.DUMMYFUNCTION("""COMPUTED_VALUE"""),"CA-2014-130813")</f>
        <v>CA-2014-130813</v>
      </c>
      <c r="B171" s="27">
        <f>IFERROR(__xludf.DUMMYFUNCTION("""COMPUTED_VALUE"""),41645.0)</f>
        <v>41645</v>
      </c>
      <c r="C171" s="26" t="str">
        <f>IFERROR(__xludf.DUMMYFUNCTION("""COMPUTED_VALUE"""),"Consumer")</f>
        <v>Consumer</v>
      </c>
      <c r="D171" s="26" t="str">
        <f>IFERROR(__xludf.DUMMYFUNCTION("""COMPUTED_VALUE"""),"California")</f>
        <v>California</v>
      </c>
      <c r="E171" s="26" t="str">
        <f>IFERROR(__xludf.DUMMYFUNCTION("""COMPUTED_VALUE"""),"West")</f>
        <v>West</v>
      </c>
      <c r="F171" s="26">
        <f>IFERROR(__xludf.DUMMYFUNCTION("""COMPUTED_VALUE"""),19.44)</f>
        <v>19.44</v>
      </c>
      <c r="G171" s="26">
        <f>IFERROR(__xludf.DUMMYFUNCTION("""COMPUTED_VALUE"""),3.0)</f>
        <v>3</v>
      </c>
      <c r="H171" s="26">
        <f>IFERROR(__xludf.DUMMYFUNCTION("""COMPUTED_VALUE"""),9.3312)</f>
        <v>9.3312</v>
      </c>
    </row>
    <row r="172">
      <c r="A172" s="26" t="str">
        <f>IFERROR(__xludf.DUMMYFUNCTION("""COMPUTED_VALUE"""),"CA-2014-113768")</f>
        <v>CA-2014-113768</v>
      </c>
      <c r="B172" s="27">
        <f>IFERROR(__xludf.DUMMYFUNCTION("""COMPUTED_VALUE"""),41772.0)</f>
        <v>41772</v>
      </c>
      <c r="C172" s="26" t="str">
        <f>IFERROR(__xludf.DUMMYFUNCTION("""COMPUTED_VALUE"""),"Corporate")</f>
        <v>Corporate</v>
      </c>
      <c r="D172" s="26" t="str">
        <f>IFERROR(__xludf.DUMMYFUNCTION("""COMPUTED_VALUE"""),"California")</f>
        <v>California</v>
      </c>
      <c r="E172" s="26" t="str">
        <f>IFERROR(__xludf.DUMMYFUNCTION("""COMPUTED_VALUE"""),"West")</f>
        <v>West</v>
      </c>
      <c r="F172" s="26">
        <f>IFERROR(__xludf.DUMMYFUNCTION("""COMPUTED_VALUE"""),279.456)</f>
        <v>279.456</v>
      </c>
      <c r="G172" s="26">
        <f>IFERROR(__xludf.DUMMYFUNCTION("""COMPUTED_VALUE"""),6.0)</f>
        <v>6</v>
      </c>
      <c r="H172" s="26">
        <f>IFERROR(__xludf.DUMMYFUNCTION("""COMPUTED_VALUE"""),20.9592)</f>
        <v>20.9592</v>
      </c>
    </row>
    <row r="173">
      <c r="A173" s="26" t="str">
        <f>IFERROR(__xludf.DUMMYFUNCTION("""COMPUTED_VALUE"""),"CA-2014-150490")</f>
        <v>CA-2014-150490</v>
      </c>
      <c r="B173" s="27">
        <f>IFERROR(__xludf.DUMMYFUNCTION("""COMPUTED_VALUE"""),41856.0)</f>
        <v>41856</v>
      </c>
      <c r="C173" s="26" t="str">
        <f>IFERROR(__xludf.DUMMYFUNCTION("""COMPUTED_VALUE"""),"Consumer")</f>
        <v>Consumer</v>
      </c>
      <c r="D173" s="26" t="str">
        <f>IFERROR(__xludf.DUMMYFUNCTION("""COMPUTED_VALUE"""),"California")</f>
        <v>California</v>
      </c>
      <c r="E173" s="26" t="str">
        <f>IFERROR(__xludf.DUMMYFUNCTION("""COMPUTED_VALUE"""),"West")</f>
        <v>West</v>
      </c>
      <c r="F173" s="26">
        <f>IFERROR(__xludf.DUMMYFUNCTION("""COMPUTED_VALUE"""),16.36)</f>
        <v>16.36</v>
      </c>
      <c r="G173" s="26">
        <f>IFERROR(__xludf.DUMMYFUNCTION("""COMPUTED_VALUE"""),1.0)</f>
        <v>1</v>
      </c>
      <c r="H173" s="26">
        <f>IFERROR(__xludf.DUMMYFUNCTION("""COMPUTED_VALUE"""),1.636)</f>
        <v>1.636</v>
      </c>
    </row>
    <row r="174">
      <c r="A174" s="26" t="str">
        <f>IFERROR(__xludf.DUMMYFUNCTION("""COMPUTED_VALUE"""),"CA-2014-123477")</f>
        <v>CA-2014-123477</v>
      </c>
      <c r="B174" s="27">
        <f>IFERROR(__xludf.DUMMYFUNCTION("""COMPUTED_VALUE"""),41657.0)</f>
        <v>41657</v>
      </c>
      <c r="C174" s="26" t="str">
        <f>IFERROR(__xludf.DUMMYFUNCTION("""COMPUTED_VALUE"""),"Corporate")</f>
        <v>Corporate</v>
      </c>
      <c r="D174" s="26" t="str">
        <f>IFERROR(__xludf.DUMMYFUNCTION("""COMPUTED_VALUE"""),"Oregon")</f>
        <v>Oregon</v>
      </c>
      <c r="E174" s="26" t="str">
        <f>IFERROR(__xludf.DUMMYFUNCTION("""COMPUTED_VALUE"""),"West")</f>
        <v>West</v>
      </c>
      <c r="F174" s="26">
        <f>IFERROR(__xludf.DUMMYFUNCTION("""COMPUTED_VALUE"""),64.864)</f>
        <v>64.864</v>
      </c>
      <c r="G174" s="26">
        <f>IFERROR(__xludf.DUMMYFUNCTION("""COMPUTED_VALUE"""),4.0)</f>
        <v>4</v>
      </c>
      <c r="H174" s="26">
        <f>IFERROR(__xludf.DUMMYFUNCTION("""COMPUTED_VALUE"""),6.4864)</f>
        <v>6.4864</v>
      </c>
    </row>
    <row r="175">
      <c r="A175" s="26" t="str">
        <f>IFERROR(__xludf.DUMMYFUNCTION("""COMPUTED_VALUE"""),"CA-2014-104829")</f>
        <v>CA-2014-104829</v>
      </c>
      <c r="B175" s="29">
        <f>IFERROR(__xludf.DUMMYFUNCTION("""COMPUTED_VALUE"""),41961.0)</f>
        <v>41961</v>
      </c>
      <c r="C175" s="26" t="str">
        <f>IFERROR(__xludf.DUMMYFUNCTION("""COMPUTED_VALUE"""),"Corporate")</f>
        <v>Corporate</v>
      </c>
      <c r="D175" s="26" t="str">
        <f>IFERROR(__xludf.DUMMYFUNCTION("""COMPUTED_VALUE"""),"Utah")</f>
        <v>Utah</v>
      </c>
      <c r="E175" s="26" t="str">
        <f>IFERROR(__xludf.DUMMYFUNCTION("""COMPUTED_VALUE"""),"West")</f>
        <v>West</v>
      </c>
      <c r="F175" s="26">
        <f>IFERROR(__xludf.DUMMYFUNCTION("""COMPUTED_VALUE"""),21.98)</f>
        <v>21.98</v>
      </c>
      <c r="G175" s="26">
        <f>IFERROR(__xludf.DUMMYFUNCTION("""COMPUTED_VALUE"""),7.0)</f>
        <v>7</v>
      </c>
      <c r="H175" s="26">
        <f>IFERROR(__xludf.DUMMYFUNCTION("""COMPUTED_VALUE"""),9.891)</f>
        <v>9.891</v>
      </c>
    </row>
    <row r="176">
      <c r="A176" s="26" t="str">
        <f>IFERROR(__xludf.DUMMYFUNCTION("""COMPUTED_VALUE"""),"CA-2014-146591")</f>
        <v>CA-2014-146591</v>
      </c>
      <c r="B176" s="27">
        <f>IFERROR(__xludf.DUMMYFUNCTION("""COMPUTED_VALUE"""),41658.0)</f>
        <v>41658</v>
      </c>
      <c r="C176" s="26" t="str">
        <f>IFERROR(__xludf.DUMMYFUNCTION("""COMPUTED_VALUE"""),"Consumer")</f>
        <v>Consumer</v>
      </c>
      <c r="D176" s="26" t="str">
        <f>IFERROR(__xludf.DUMMYFUNCTION("""COMPUTED_VALUE"""),"Arizona")</f>
        <v>Arizona</v>
      </c>
      <c r="E176" s="26" t="str">
        <f>IFERROR(__xludf.DUMMYFUNCTION("""COMPUTED_VALUE"""),"West")</f>
        <v>West</v>
      </c>
      <c r="F176" s="26">
        <f>IFERROR(__xludf.DUMMYFUNCTION("""COMPUTED_VALUE"""),32.34)</f>
        <v>32.34</v>
      </c>
      <c r="G176" s="26">
        <f>IFERROR(__xludf.DUMMYFUNCTION("""COMPUTED_VALUE"""),10.0)</f>
        <v>10</v>
      </c>
      <c r="H176" s="26">
        <f>IFERROR(__xludf.DUMMYFUNCTION("""COMPUTED_VALUE"""),-23.716)</f>
        <v>-23.716</v>
      </c>
    </row>
    <row r="177">
      <c r="A177" s="26" t="str">
        <f>IFERROR(__xludf.DUMMYFUNCTION("""COMPUTED_VALUE"""),"CA-2014-132451")</f>
        <v>CA-2014-132451</v>
      </c>
      <c r="B177" s="27">
        <f>IFERROR(__xludf.DUMMYFUNCTION("""COMPUTED_VALUE"""),41908.0)</f>
        <v>41908</v>
      </c>
      <c r="C177" s="26" t="str">
        <f>IFERROR(__xludf.DUMMYFUNCTION("""COMPUTED_VALUE"""),"Home Office")</f>
        <v>Home Office</v>
      </c>
      <c r="D177" s="26" t="str">
        <f>IFERROR(__xludf.DUMMYFUNCTION("""COMPUTED_VALUE"""),"California")</f>
        <v>California</v>
      </c>
      <c r="E177" s="26" t="str">
        <f>IFERROR(__xludf.DUMMYFUNCTION("""COMPUTED_VALUE"""),"West")</f>
        <v>West</v>
      </c>
      <c r="F177" s="26">
        <f>IFERROR(__xludf.DUMMYFUNCTION("""COMPUTED_VALUE"""),585.552)</f>
        <v>585.552</v>
      </c>
      <c r="G177" s="26">
        <f>IFERROR(__xludf.DUMMYFUNCTION("""COMPUTED_VALUE"""),3.0)</f>
        <v>3</v>
      </c>
      <c r="H177" s="26">
        <f>IFERROR(__xludf.DUMMYFUNCTION("""COMPUTED_VALUE"""),73.194)</f>
        <v>73.194</v>
      </c>
    </row>
    <row r="178">
      <c r="A178" s="26" t="str">
        <f>IFERROR(__xludf.DUMMYFUNCTION("""COMPUTED_VALUE"""),"CA-2014-105249")</f>
        <v>CA-2014-105249</v>
      </c>
      <c r="B178" s="29">
        <f>IFERROR(__xludf.DUMMYFUNCTION("""COMPUTED_VALUE"""),41971.0)</f>
        <v>41971</v>
      </c>
      <c r="C178" s="26" t="str">
        <f>IFERROR(__xludf.DUMMYFUNCTION("""COMPUTED_VALUE"""),"Home Office")</f>
        <v>Home Office</v>
      </c>
      <c r="D178" s="26" t="str">
        <f>IFERROR(__xludf.DUMMYFUNCTION("""COMPUTED_VALUE"""),"California")</f>
        <v>California</v>
      </c>
      <c r="E178" s="26" t="str">
        <f>IFERROR(__xludf.DUMMYFUNCTION("""COMPUTED_VALUE"""),"West")</f>
        <v>West</v>
      </c>
      <c r="F178" s="26">
        <f>IFERROR(__xludf.DUMMYFUNCTION("""COMPUTED_VALUE"""),7.36)</f>
        <v>7.36</v>
      </c>
      <c r="G178" s="26">
        <f>IFERROR(__xludf.DUMMYFUNCTION("""COMPUTED_VALUE"""),2.0)</f>
        <v>2</v>
      </c>
      <c r="H178" s="26">
        <f>IFERROR(__xludf.DUMMYFUNCTION("""COMPUTED_VALUE"""),0.1472)</f>
        <v>0.1472</v>
      </c>
    </row>
    <row r="179">
      <c r="A179" s="26" t="str">
        <f>IFERROR(__xludf.DUMMYFUNCTION("""COMPUTED_VALUE"""),"US-2014-137680")</f>
        <v>US-2014-137680</v>
      </c>
      <c r="B179" s="27">
        <f>IFERROR(__xludf.DUMMYFUNCTION("""COMPUTED_VALUE"""),41694.0)</f>
        <v>41694</v>
      </c>
      <c r="C179" s="26" t="str">
        <f>IFERROR(__xludf.DUMMYFUNCTION("""COMPUTED_VALUE"""),"Consumer")</f>
        <v>Consumer</v>
      </c>
      <c r="D179" s="26" t="str">
        <f>IFERROR(__xludf.DUMMYFUNCTION("""COMPUTED_VALUE"""),"Oregon")</f>
        <v>Oregon</v>
      </c>
      <c r="E179" s="26" t="str">
        <f>IFERROR(__xludf.DUMMYFUNCTION("""COMPUTED_VALUE"""),"West")</f>
        <v>West</v>
      </c>
      <c r="F179" s="26">
        <f>IFERROR(__xludf.DUMMYFUNCTION("""COMPUTED_VALUE"""),32.896)</f>
        <v>32.896</v>
      </c>
      <c r="G179" s="26">
        <f>IFERROR(__xludf.DUMMYFUNCTION("""COMPUTED_VALUE"""),4.0)</f>
        <v>4</v>
      </c>
      <c r="H179" s="26">
        <f>IFERROR(__xludf.DUMMYFUNCTION("""COMPUTED_VALUE"""),11.1024)</f>
        <v>11.1024</v>
      </c>
    </row>
    <row r="180">
      <c r="A180" s="26" t="str">
        <f>IFERROR(__xludf.DUMMYFUNCTION("""COMPUTED_VALUE"""),"CA-2014-159800")</f>
        <v>CA-2014-159800</v>
      </c>
      <c r="B180" s="29">
        <f>IFERROR(__xludf.DUMMYFUNCTION("""COMPUTED_VALUE"""),41971.0)</f>
        <v>41971</v>
      </c>
      <c r="C180" s="26" t="str">
        <f>IFERROR(__xludf.DUMMYFUNCTION("""COMPUTED_VALUE"""),"Consumer")</f>
        <v>Consumer</v>
      </c>
      <c r="D180" s="26" t="str">
        <f>IFERROR(__xludf.DUMMYFUNCTION("""COMPUTED_VALUE"""),"California")</f>
        <v>California</v>
      </c>
      <c r="E180" s="26" t="str">
        <f>IFERROR(__xludf.DUMMYFUNCTION("""COMPUTED_VALUE"""),"West")</f>
        <v>West</v>
      </c>
      <c r="F180" s="26">
        <f>IFERROR(__xludf.DUMMYFUNCTION("""COMPUTED_VALUE"""),43.68)</f>
        <v>43.68</v>
      </c>
      <c r="G180" s="26">
        <f>IFERROR(__xludf.DUMMYFUNCTION("""COMPUTED_VALUE"""),3.0)</f>
        <v>3</v>
      </c>
      <c r="H180" s="26">
        <f>IFERROR(__xludf.DUMMYFUNCTION("""COMPUTED_VALUE"""),11.7936)</f>
        <v>11.7936</v>
      </c>
    </row>
    <row r="181">
      <c r="A181" s="26" t="str">
        <f>IFERROR(__xludf.DUMMYFUNCTION("""COMPUTED_VALUE"""),"CA-2014-116673")</f>
        <v>CA-2014-116673</v>
      </c>
      <c r="B181" s="29">
        <f>IFERROR(__xludf.DUMMYFUNCTION("""COMPUTED_VALUE"""),41988.0)</f>
        <v>41988</v>
      </c>
      <c r="C181" s="26" t="str">
        <f>IFERROR(__xludf.DUMMYFUNCTION("""COMPUTED_VALUE"""),"Consumer")</f>
        <v>Consumer</v>
      </c>
      <c r="D181" s="26" t="str">
        <f>IFERROR(__xludf.DUMMYFUNCTION("""COMPUTED_VALUE"""),"California")</f>
        <v>California</v>
      </c>
      <c r="E181" s="26" t="str">
        <f>IFERROR(__xludf.DUMMYFUNCTION("""COMPUTED_VALUE"""),"West")</f>
        <v>West</v>
      </c>
      <c r="F181" s="26">
        <f>IFERROR(__xludf.DUMMYFUNCTION("""COMPUTED_VALUE"""),6.16)</f>
        <v>6.16</v>
      </c>
      <c r="G181" s="26">
        <f>IFERROR(__xludf.DUMMYFUNCTION("""COMPUTED_VALUE"""),2.0)</f>
        <v>2</v>
      </c>
      <c r="H181" s="26">
        <f>IFERROR(__xludf.DUMMYFUNCTION("""COMPUTED_VALUE"""),1.9712)</f>
        <v>1.9712</v>
      </c>
    </row>
    <row r="182">
      <c r="A182" s="26" t="str">
        <f>IFERROR(__xludf.DUMMYFUNCTION("""COMPUTED_VALUE"""),"CA-2014-168158")</f>
        <v>CA-2014-168158</v>
      </c>
      <c r="B182" s="27">
        <f>IFERROR(__xludf.DUMMYFUNCTION("""COMPUTED_VALUE"""),41839.0)</f>
        <v>41839</v>
      </c>
      <c r="C182" s="26" t="str">
        <f>IFERROR(__xludf.DUMMYFUNCTION("""COMPUTED_VALUE"""),"Home Office")</f>
        <v>Home Office</v>
      </c>
      <c r="D182" s="26" t="str">
        <f>IFERROR(__xludf.DUMMYFUNCTION("""COMPUTED_VALUE"""),"Montana")</f>
        <v>Montana</v>
      </c>
      <c r="E182" s="26" t="str">
        <f>IFERROR(__xludf.DUMMYFUNCTION("""COMPUTED_VALUE"""),"West")</f>
        <v>West</v>
      </c>
      <c r="F182" s="26">
        <f>IFERROR(__xludf.DUMMYFUNCTION("""COMPUTED_VALUE"""),6.096)</f>
        <v>6.096</v>
      </c>
      <c r="G182" s="26">
        <f>IFERROR(__xludf.DUMMYFUNCTION("""COMPUTED_VALUE"""),2.0)</f>
        <v>2</v>
      </c>
      <c r="H182" s="26">
        <f>IFERROR(__xludf.DUMMYFUNCTION("""COMPUTED_VALUE"""),2.2098)</f>
        <v>2.2098</v>
      </c>
    </row>
    <row r="183">
      <c r="A183" s="26" t="str">
        <f>IFERROR(__xludf.DUMMYFUNCTION("""COMPUTED_VALUE"""),"CA-2014-126683")</f>
        <v>CA-2014-126683</v>
      </c>
      <c r="B183" s="27">
        <f>IFERROR(__xludf.DUMMYFUNCTION("""COMPUTED_VALUE"""),41911.0)</f>
        <v>41911</v>
      </c>
      <c r="C183" s="26" t="str">
        <f>IFERROR(__xludf.DUMMYFUNCTION("""COMPUTED_VALUE"""),"Home Office")</f>
        <v>Home Office</v>
      </c>
      <c r="D183" s="26" t="str">
        <f>IFERROR(__xludf.DUMMYFUNCTION("""COMPUTED_VALUE"""),"Washington")</f>
        <v>Washington</v>
      </c>
      <c r="E183" s="26" t="str">
        <f>IFERROR(__xludf.DUMMYFUNCTION("""COMPUTED_VALUE"""),"West")</f>
        <v>West</v>
      </c>
      <c r="F183" s="26">
        <f>IFERROR(__xludf.DUMMYFUNCTION("""COMPUTED_VALUE"""),6.16)</f>
        <v>6.16</v>
      </c>
      <c r="G183" s="26">
        <f>IFERROR(__xludf.DUMMYFUNCTION("""COMPUTED_VALUE"""),2.0)</f>
        <v>2</v>
      </c>
      <c r="H183" s="26">
        <f>IFERROR(__xludf.DUMMYFUNCTION("""COMPUTED_VALUE"""),2.9568)</f>
        <v>2.9568</v>
      </c>
    </row>
    <row r="184">
      <c r="A184" s="26" t="str">
        <f>IFERROR(__xludf.DUMMYFUNCTION("""COMPUTED_VALUE"""),"CA-2014-154893")</f>
        <v>CA-2014-154893</v>
      </c>
      <c r="B184" s="29">
        <f>IFERROR(__xludf.DUMMYFUNCTION("""COMPUTED_VALUE"""),41994.0)</f>
        <v>41994</v>
      </c>
      <c r="C184" s="26" t="str">
        <f>IFERROR(__xludf.DUMMYFUNCTION("""COMPUTED_VALUE"""),"Consumer")</f>
        <v>Consumer</v>
      </c>
      <c r="D184" s="26" t="str">
        <f>IFERROR(__xludf.DUMMYFUNCTION("""COMPUTED_VALUE"""),"California")</f>
        <v>California</v>
      </c>
      <c r="E184" s="26" t="str">
        <f>IFERROR(__xludf.DUMMYFUNCTION("""COMPUTED_VALUE"""),"West")</f>
        <v>West</v>
      </c>
      <c r="F184" s="26">
        <f>IFERROR(__xludf.DUMMYFUNCTION("""COMPUTED_VALUE"""),1325.76)</f>
        <v>1325.76</v>
      </c>
      <c r="G184" s="26">
        <f>IFERROR(__xludf.DUMMYFUNCTION("""COMPUTED_VALUE"""),6.0)</f>
        <v>6</v>
      </c>
      <c r="H184" s="26">
        <f>IFERROR(__xludf.DUMMYFUNCTION("""COMPUTED_VALUE"""),149.148)</f>
        <v>149.148</v>
      </c>
    </row>
    <row r="185">
      <c r="A185" s="26" t="str">
        <f>IFERROR(__xludf.DUMMYFUNCTION("""COMPUTED_VALUE"""),"US-2014-134187")</f>
        <v>US-2014-134187</v>
      </c>
      <c r="B185" s="27">
        <f>IFERROR(__xludf.DUMMYFUNCTION("""COMPUTED_VALUE"""),41947.0)</f>
        <v>41947</v>
      </c>
      <c r="C185" s="26" t="str">
        <f>IFERROR(__xludf.DUMMYFUNCTION("""COMPUTED_VALUE"""),"Corporate")</f>
        <v>Corporate</v>
      </c>
      <c r="D185" s="26" t="str">
        <f>IFERROR(__xludf.DUMMYFUNCTION("""COMPUTED_VALUE"""),"California")</f>
        <v>California</v>
      </c>
      <c r="E185" s="26" t="str">
        <f>IFERROR(__xludf.DUMMYFUNCTION("""COMPUTED_VALUE"""),"West")</f>
        <v>West</v>
      </c>
      <c r="F185" s="26">
        <f>IFERROR(__xludf.DUMMYFUNCTION("""COMPUTED_VALUE"""),2.94)</f>
        <v>2.94</v>
      </c>
      <c r="G185" s="26">
        <f>IFERROR(__xludf.DUMMYFUNCTION("""COMPUTED_VALUE"""),1.0)</f>
        <v>1</v>
      </c>
      <c r="H185" s="26">
        <f>IFERROR(__xludf.DUMMYFUNCTION("""COMPUTED_VALUE"""),0.7938)</f>
        <v>0.7938</v>
      </c>
    </row>
    <row r="186">
      <c r="A186" s="26" t="str">
        <f>IFERROR(__xludf.DUMMYFUNCTION("""COMPUTED_VALUE"""),"CA-2014-135993")</f>
        <v>CA-2014-135993</v>
      </c>
      <c r="B186" s="27">
        <f>IFERROR(__xludf.DUMMYFUNCTION("""COMPUTED_VALUE"""),41787.0)</f>
        <v>41787</v>
      </c>
      <c r="C186" s="26" t="str">
        <f>IFERROR(__xludf.DUMMYFUNCTION("""COMPUTED_VALUE"""),"Corporate")</f>
        <v>Corporate</v>
      </c>
      <c r="D186" s="26" t="str">
        <f>IFERROR(__xludf.DUMMYFUNCTION("""COMPUTED_VALUE"""),"Washington")</f>
        <v>Washington</v>
      </c>
      <c r="E186" s="26" t="str">
        <f>IFERROR(__xludf.DUMMYFUNCTION("""COMPUTED_VALUE"""),"West")</f>
        <v>West</v>
      </c>
      <c r="F186" s="26">
        <f>IFERROR(__xludf.DUMMYFUNCTION("""COMPUTED_VALUE"""),57.408)</f>
        <v>57.408</v>
      </c>
      <c r="G186" s="26">
        <f>IFERROR(__xludf.DUMMYFUNCTION("""COMPUTED_VALUE"""),6.0)</f>
        <v>6</v>
      </c>
      <c r="H186" s="26">
        <f>IFERROR(__xludf.DUMMYFUNCTION("""COMPUTED_VALUE"""),5.7408)</f>
        <v>5.7408</v>
      </c>
    </row>
    <row r="187">
      <c r="A187" s="26" t="str">
        <f>IFERROR(__xludf.DUMMYFUNCTION("""COMPUTED_VALUE"""),"CA-2014-148614")</f>
        <v>CA-2014-148614</v>
      </c>
      <c r="B187" s="27">
        <f>IFERROR(__xludf.DUMMYFUNCTION("""COMPUTED_VALUE"""),41659.0)</f>
        <v>41659</v>
      </c>
      <c r="C187" s="26" t="str">
        <f>IFERROR(__xludf.DUMMYFUNCTION("""COMPUTED_VALUE"""),"Consumer")</f>
        <v>Consumer</v>
      </c>
      <c r="D187" s="26" t="str">
        <f>IFERROR(__xludf.DUMMYFUNCTION("""COMPUTED_VALUE"""),"California")</f>
        <v>California</v>
      </c>
      <c r="E187" s="26" t="str">
        <f>IFERROR(__xludf.DUMMYFUNCTION("""COMPUTED_VALUE"""),"West")</f>
        <v>West</v>
      </c>
      <c r="F187" s="26">
        <f>IFERROR(__xludf.DUMMYFUNCTION("""COMPUTED_VALUE"""),19.36)</f>
        <v>19.36</v>
      </c>
      <c r="G187" s="26">
        <f>IFERROR(__xludf.DUMMYFUNCTION("""COMPUTED_VALUE"""),2.0)</f>
        <v>2</v>
      </c>
      <c r="H187" s="26">
        <f>IFERROR(__xludf.DUMMYFUNCTION("""COMPUTED_VALUE"""),9.2928)</f>
        <v>9.2928</v>
      </c>
    </row>
    <row r="188">
      <c r="A188" s="26" t="str">
        <f>IFERROR(__xludf.DUMMYFUNCTION("""COMPUTED_VALUE"""),"US-2014-126340")</f>
        <v>US-2014-126340</v>
      </c>
      <c r="B188" s="27">
        <f>IFERROR(__xludf.DUMMYFUNCTION("""COMPUTED_VALUE"""),41951.0)</f>
        <v>41951</v>
      </c>
      <c r="C188" s="26" t="str">
        <f>IFERROR(__xludf.DUMMYFUNCTION("""COMPUTED_VALUE"""),"Consumer")</f>
        <v>Consumer</v>
      </c>
      <c r="D188" s="26" t="str">
        <f>IFERROR(__xludf.DUMMYFUNCTION("""COMPUTED_VALUE"""),"California")</f>
        <v>California</v>
      </c>
      <c r="E188" s="26" t="str">
        <f>IFERROR(__xludf.DUMMYFUNCTION("""COMPUTED_VALUE"""),"West")</f>
        <v>West</v>
      </c>
      <c r="F188" s="26">
        <f>IFERROR(__xludf.DUMMYFUNCTION("""COMPUTED_VALUE"""),333.576)</f>
        <v>333.576</v>
      </c>
      <c r="G188" s="26">
        <f>IFERROR(__xludf.DUMMYFUNCTION("""COMPUTED_VALUE"""),3.0)</f>
        <v>3</v>
      </c>
      <c r="H188" s="26">
        <f>IFERROR(__xludf.DUMMYFUNCTION("""COMPUTED_VALUE"""),25.0182)</f>
        <v>25.0182</v>
      </c>
    </row>
    <row r="189">
      <c r="A189" s="26" t="str">
        <f>IFERROR(__xludf.DUMMYFUNCTION("""COMPUTED_VALUE"""),"CA-2014-105270")</f>
        <v>CA-2014-105270</v>
      </c>
      <c r="B189" s="29">
        <f>IFERROR(__xludf.DUMMYFUNCTION("""COMPUTED_VALUE"""),41954.0)</f>
        <v>41954</v>
      </c>
      <c r="C189" s="26" t="str">
        <f>IFERROR(__xludf.DUMMYFUNCTION("""COMPUTED_VALUE"""),"Consumer")</f>
        <v>Consumer</v>
      </c>
      <c r="D189" s="26" t="str">
        <f>IFERROR(__xludf.DUMMYFUNCTION("""COMPUTED_VALUE"""),"California")</f>
        <v>California</v>
      </c>
      <c r="E189" s="26" t="str">
        <f>IFERROR(__xludf.DUMMYFUNCTION("""COMPUTED_VALUE"""),"West")</f>
        <v>West</v>
      </c>
      <c r="F189" s="26">
        <f>IFERROR(__xludf.DUMMYFUNCTION("""COMPUTED_VALUE"""),30.48)</f>
        <v>30.48</v>
      </c>
      <c r="G189" s="26">
        <f>IFERROR(__xludf.DUMMYFUNCTION("""COMPUTED_VALUE"""),3.0)</f>
        <v>3</v>
      </c>
      <c r="H189" s="26">
        <f>IFERROR(__xludf.DUMMYFUNCTION("""COMPUTED_VALUE"""),7.9248)</f>
        <v>7.9248</v>
      </c>
    </row>
    <row r="190">
      <c r="A190" s="26" t="str">
        <f>IFERROR(__xludf.DUMMYFUNCTION("""COMPUTED_VALUE"""),"US-2014-109456")</f>
        <v>US-2014-109456</v>
      </c>
      <c r="B190" s="29">
        <f>IFERROR(__xludf.DUMMYFUNCTION("""COMPUTED_VALUE"""),41928.0)</f>
        <v>41928</v>
      </c>
      <c r="C190" s="26" t="str">
        <f>IFERROR(__xludf.DUMMYFUNCTION("""COMPUTED_VALUE"""),"Consumer")</f>
        <v>Consumer</v>
      </c>
      <c r="D190" s="26" t="str">
        <f>IFERROR(__xludf.DUMMYFUNCTION("""COMPUTED_VALUE"""),"California")</f>
        <v>California</v>
      </c>
      <c r="E190" s="26" t="str">
        <f>IFERROR(__xludf.DUMMYFUNCTION("""COMPUTED_VALUE"""),"West")</f>
        <v>West</v>
      </c>
      <c r="F190" s="26">
        <f>IFERROR(__xludf.DUMMYFUNCTION("""COMPUTED_VALUE"""),14.352)</f>
        <v>14.352</v>
      </c>
      <c r="G190" s="26">
        <f>IFERROR(__xludf.DUMMYFUNCTION("""COMPUTED_VALUE"""),3.0)</f>
        <v>3</v>
      </c>
      <c r="H190" s="26">
        <f>IFERROR(__xludf.DUMMYFUNCTION("""COMPUTED_VALUE"""),5.0232)</f>
        <v>5.0232</v>
      </c>
    </row>
    <row r="191">
      <c r="A191" s="26" t="str">
        <f>IFERROR(__xludf.DUMMYFUNCTION("""COMPUTED_VALUE"""),"CA-2014-168305")</f>
        <v>CA-2014-168305</v>
      </c>
      <c r="B191" s="27">
        <f>IFERROR(__xludf.DUMMYFUNCTION("""COMPUTED_VALUE"""),41944.0)</f>
        <v>41944</v>
      </c>
      <c r="C191" s="26" t="str">
        <f>IFERROR(__xludf.DUMMYFUNCTION("""COMPUTED_VALUE"""),"Home Office")</f>
        <v>Home Office</v>
      </c>
      <c r="D191" s="26" t="str">
        <f>IFERROR(__xludf.DUMMYFUNCTION("""COMPUTED_VALUE"""),"California")</f>
        <v>California</v>
      </c>
      <c r="E191" s="26" t="str">
        <f>IFERROR(__xludf.DUMMYFUNCTION("""COMPUTED_VALUE"""),"West")</f>
        <v>West</v>
      </c>
      <c r="F191" s="26">
        <f>IFERROR(__xludf.DUMMYFUNCTION("""COMPUTED_VALUE"""),44.4)</f>
        <v>44.4</v>
      </c>
      <c r="G191" s="26">
        <f>IFERROR(__xludf.DUMMYFUNCTION("""COMPUTED_VALUE"""),3.0)</f>
        <v>3</v>
      </c>
      <c r="H191" s="26">
        <f>IFERROR(__xludf.DUMMYFUNCTION("""COMPUTED_VALUE"""),22.2)</f>
        <v>22.2</v>
      </c>
    </row>
    <row r="192">
      <c r="A192" s="26" t="str">
        <f>IFERROR(__xludf.DUMMYFUNCTION("""COMPUTED_VALUE"""),"CA-2014-104178")</f>
        <v>CA-2014-104178</v>
      </c>
      <c r="B192" s="27">
        <f>IFERROR(__xludf.DUMMYFUNCTION("""COMPUTED_VALUE"""),41876.0)</f>
        <v>41876</v>
      </c>
      <c r="C192" s="26" t="str">
        <f>IFERROR(__xludf.DUMMYFUNCTION("""COMPUTED_VALUE"""),"Corporate")</f>
        <v>Corporate</v>
      </c>
      <c r="D192" s="26" t="str">
        <f>IFERROR(__xludf.DUMMYFUNCTION("""COMPUTED_VALUE"""),"California")</f>
        <v>California</v>
      </c>
      <c r="E192" s="26" t="str">
        <f>IFERROR(__xludf.DUMMYFUNCTION("""COMPUTED_VALUE"""),"West")</f>
        <v>West</v>
      </c>
      <c r="F192" s="26">
        <f>IFERROR(__xludf.DUMMYFUNCTION("""COMPUTED_VALUE"""),6.28)</f>
        <v>6.28</v>
      </c>
      <c r="G192" s="26">
        <f>IFERROR(__xludf.DUMMYFUNCTION("""COMPUTED_VALUE"""),1.0)</f>
        <v>1</v>
      </c>
      <c r="H192" s="26">
        <f>IFERROR(__xludf.DUMMYFUNCTION("""COMPUTED_VALUE"""),2.6376)</f>
        <v>2.6376</v>
      </c>
    </row>
    <row r="193">
      <c r="A193" s="26" t="str">
        <f>IFERROR(__xludf.DUMMYFUNCTION("""COMPUTED_VALUE"""),"CA-2014-140732")</f>
        <v>CA-2014-140732</v>
      </c>
      <c r="B193" s="29">
        <f>IFERROR(__xludf.DUMMYFUNCTION("""COMPUTED_VALUE"""),41954.0)</f>
        <v>41954</v>
      </c>
      <c r="C193" s="26" t="str">
        <f>IFERROR(__xludf.DUMMYFUNCTION("""COMPUTED_VALUE"""),"Home Office")</f>
        <v>Home Office</v>
      </c>
      <c r="D193" s="26" t="str">
        <f>IFERROR(__xludf.DUMMYFUNCTION("""COMPUTED_VALUE"""),"California")</f>
        <v>California</v>
      </c>
      <c r="E193" s="26" t="str">
        <f>IFERROR(__xludf.DUMMYFUNCTION("""COMPUTED_VALUE"""),"West")</f>
        <v>West</v>
      </c>
      <c r="F193" s="26">
        <f>IFERROR(__xludf.DUMMYFUNCTION("""COMPUTED_VALUE"""),575.928)</f>
        <v>575.928</v>
      </c>
      <c r="G193" s="26">
        <f>IFERROR(__xludf.DUMMYFUNCTION("""COMPUTED_VALUE"""),9.0)</f>
        <v>9</v>
      </c>
      <c r="H193" s="26">
        <f>IFERROR(__xludf.DUMMYFUNCTION("""COMPUTED_VALUE"""),57.5928)</f>
        <v>57.5928</v>
      </c>
    </row>
    <row r="194">
      <c r="A194" s="26" t="str">
        <f>IFERROR(__xludf.DUMMYFUNCTION("""COMPUTED_VALUE"""),"CA-2014-141726")</f>
        <v>CA-2014-141726</v>
      </c>
      <c r="B194" s="27">
        <f>IFERROR(__xludf.DUMMYFUNCTION("""COMPUTED_VALUE"""),41840.0)</f>
        <v>41840</v>
      </c>
      <c r="C194" s="26" t="str">
        <f>IFERROR(__xludf.DUMMYFUNCTION("""COMPUTED_VALUE"""),"Consumer")</f>
        <v>Consumer</v>
      </c>
      <c r="D194" s="26" t="str">
        <f>IFERROR(__xludf.DUMMYFUNCTION("""COMPUTED_VALUE"""),"California")</f>
        <v>California</v>
      </c>
      <c r="E194" s="26" t="str">
        <f>IFERROR(__xludf.DUMMYFUNCTION("""COMPUTED_VALUE"""),"West")</f>
        <v>West</v>
      </c>
      <c r="F194" s="26">
        <f>IFERROR(__xludf.DUMMYFUNCTION("""COMPUTED_VALUE"""),104.85)</f>
        <v>104.85</v>
      </c>
      <c r="G194" s="26">
        <f>IFERROR(__xludf.DUMMYFUNCTION("""COMPUTED_VALUE"""),1.0)</f>
        <v>1</v>
      </c>
      <c r="H194" s="26">
        <f>IFERROR(__xludf.DUMMYFUNCTION("""COMPUTED_VALUE"""),50.328)</f>
        <v>50.328</v>
      </c>
    </row>
    <row r="195">
      <c r="A195" s="26" t="str">
        <f>IFERROR(__xludf.DUMMYFUNCTION("""COMPUTED_VALUE"""),"US-2014-112991")</f>
        <v>US-2014-112991</v>
      </c>
      <c r="B195" s="29">
        <f>IFERROR(__xludf.DUMMYFUNCTION("""COMPUTED_VALUE"""),41983.0)</f>
        <v>41983</v>
      </c>
      <c r="C195" s="26" t="str">
        <f>IFERROR(__xludf.DUMMYFUNCTION("""COMPUTED_VALUE"""),"Corporate")</f>
        <v>Corporate</v>
      </c>
      <c r="D195" s="26" t="str">
        <f>IFERROR(__xludf.DUMMYFUNCTION("""COMPUTED_VALUE"""),"Idaho")</f>
        <v>Idaho</v>
      </c>
      <c r="E195" s="26" t="str">
        <f>IFERROR(__xludf.DUMMYFUNCTION("""COMPUTED_VALUE"""),"West")</f>
        <v>West</v>
      </c>
      <c r="F195" s="26">
        <f>IFERROR(__xludf.DUMMYFUNCTION("""COMPUTED_VALUE"""),338.352)</f>
        <v>338.352</v>
      </c>
      <c r="G195" s="26">
        <f>IFERROR(__xludf.DUMMYFUNCTION("""COMPUTED_VALUE"""),3.0)</f>
        <v>3</v>
      </c>
      <c r="H195" s="26">
        <f>IFERROR(__xludf.DUMMYFUNCTION("""COMPUTED_VALUE"""),4.2294)</f>
        <v>4.2294</v>
      </c>
    </row>
    <row r="196">
      <c r="A196" s="26" t="str">
        <f>IFERROR(__xludf.DUMMYFUNCTION("""COMPUTED_VALUE"""),"CA-2014-124079")</f>
        <v>CA-2014-124079</v>
      </c>
      <c r="B196" s="29">
        <f>IFERROR(__xludf.DUMMYFUNCTION("""COMPUTED_VALUE"""),41986.0)</f>
        <v>41986</v>
      </c>
      <c r="C196" s="26" t="str">
        <f>IFERROR(__xludf.DUMMYFUNCTION("""COMPUTED_VALUE"""),"Corporate")</f>
        <v>Corporate</v>
      </c>
      <c r="D196" s="26" t="str">
        <f>IFERROR(__xludf.DUMMYFUNCTION("""COMPUTED_VALUE"""),"Arizona")</f>
        <v>Arizona</v>
      </c>
      <c r="E196" s="26" t="str">
        <f>IFERROR(__xludf.DUMMYFUNCTION("""COMPUTED_VALUE"""),"West")</f>
        <v>West</v>
      </c>
      <c r="F196" s="26">
        <f>IFERROR(__xludf.DUMMYFUNCTION("""COMPUTED_VALUE"""),87.96)</f>
        <v>87.96</v>
      </c>
      <c r="G196" s="26">
        <f>IFERROR(__xludf.DUMMYFUNCTION("""COMPUTED_VALUE"""),3.0)</f>
        <v>3</v>
      </c>
      <c r="H196" s="26">
        <f>IFERROR(__xludf.DUMMYFUNCTION("""COMPUTED_VALUE"""),7.6965)</f>
        <v>7.6965</v>
      </c>
    </row>
    <row r="197">
      <c r="A197" s="26" t="str">
        <f>IFERROR(__xludf.DUMMYFUNCTION("""COMPUTED_VALUE"""),"CA-2014-102652")</f>
        <v>CA-2014-102652</v>
      </c>
      <c r="B197" s="27">
        <f>IFERROR(__xludf.DUMMYFUNCTION("""COMPUTED_VALUE"""),41735.0)</f>
        <v>41735</v>
      </c>
      <c r="C197" s="26" t="str">
        <f>IFERROR(__xludf.DUMMYFUNCTION("""COMPUTED_VALUE"""),"Corporate")</f>
        <v>Corporate</v>
      </c>
      <c r="D197" s="26" t="str">
        <f>IFERROR(__xludf.DUMMYFUNCTION("""COMPUTED_VALUE"""),"California")</f>
        <v>California</v>
      </c>
      <c r="E197" s="26" t="str">
        <f>IFERROR(__xludf.DUMMYFUNCTION("""COMPUTED_VALUE"""),"West")</f>
        <v>West</v>
      </c>
      <c r="F197" s="26">
        <f>IFERROR(__xludf.DUMMYFUNCTION("""COMPUTED_VALUE"""),91.96)</f>
        <v>91.96</v>
      </c>
      <c r="G197" s="26">
        <f>IFERROR(__xludf.DUMMYFUNCTION("""COMPUTED_VALUE"""),2.0)</f>
        <v>2</v>
      </c>
      <c r="H197" s="26">
        <f>IFERROR(__xludf.DUMMYFUNCTION("""COMPUTED_VALUE"""),15.6332)</f>
        <v>15.6332</v>
      </c>
    </row>
    <row r="198">
      <c r="A198" s="26" t="str">
        <f>IFERROR(__xludf.DUMMYFUNCTION("""COMPUTED_VALUE"""),"US-2014-158400")</f>
        <v>US-2014-158400</v>
      </c>
      <c r="B198" s="29">
        <f>IFERROR(__xludf.DUMMYFUNCTION("""COMPUTED_VALUE"""),41937.0)</f>
        <v>41937</v>
      </c>
      <c r="C198" s="26" t="str">
        <f>IFERROR(__xludf.DUMMYFUNCTION("""COMPUTED_VALUE"""),"Corporate")</f>
        <v>Corporate</v>
      </c>
      <c r="D198" s="26" t="str">
        <f>IFERROR(__xludf.DUMMYFUNCTION("""COMPUTED_VALUE"""),"California")</f>
        <v>California</v>
      </c>
      <c r="E198" s="26" t="str">
        <f>IFERROR(__xludf.DUMMYFUNCTION("""COMPUTED_VALUE"""),"West")</f>
        <v>West</v>
      </c>
      <c r="F198" s="26">
        <f>IFERROR(__xludf.DUMMYFUNCTION("""COMPUTED_VALUE"""),49.408)</f>
        <v>49.408</v>
      </c>
      <c r="G198" s="26">
        <f>IFERROR(__xludf.DUMMYFUNCTION("""COMPUTED_VALUE"""),4.0)</f>
        <v>4</v>
      </c>
      <c r="H198" s="26">
        <f>IFERROR(__xludf.DUMMYFUNCTION("""COMPUTED_VALUE"""),18.528)</f>
        <v>18.528</v>
      </c>
    </row>
    <row r="199">
      <c r="A199" s="26" t="str">
        <f>IFERROR(__xludf.DUMMYFUNCTION("""COMPUTED_VALUE"""),"CA-2014-131247")</f>
        <v>CA-2014-131247</v>
      </c>
      <c r="B199" s="27">
        <f>IFERROR(__xludf.DUMMYFUNCTION("""COMPUTED_VALUE"""),41728.0)</f>
        <v>41728</v>
      </c>
      <c r="C199" s="26" t="str">
        <f>IFERROR(__xludf.DUMMYFUNCTION("""COMPUTED_VALUE"""),"Consumer")</f>
        <v>Consumer</v>
      </c>
      <c r="D199" s="26" t="str">
        <f>IFERROR(__xludf.DUMMYFUNCTION("""COMPUTED_VALUE"""),"California")</f>
        <v>California</v>
      </c>
      <c r="E199" s="26" t="str">
        <f>IFERROR(__xludf.DUMMYFUNCTION("""COMPUTED_VALUE"""),"West")</f>
        <v>West</v>
      </c>
      <c r="F199" s="26">
        <f>IFERROR(__xludf.DUMMYFUNCTION("""COMPUTED_VALUE"""),205.666)</f>
        <v>205.666</v>
      </c>
      <c r="G199" s="26">
        <f>IFERROR(__xludf.DUMMYFUNCTION("""COMPUTED_VALUE"""),2.0)</f>
        <v>2</v>
      </c>
      <c r="H199" s="26">
        <f>IFERROR(__xludf.DUMMYFUNCTION("""COMPUTED_VALUE"""),-12.098)</f>
        <v>-12.098</v>
      </c>
    </row>
    <row r="200">
      <c r="A200" s="26" t="str">
        <f>IFERROR(__xludf.DUMMYFUNCTION("""COMPUTED_VALUE"""),"CA-2014-133543")</f>
        <v>CA-2014-133543</v>
      </c>
      <c r="B200" s="29">
        <f>IFERROR(__xludf.DUMMYFUNCTION("""COMPUTED_VALUE"""),41995.0)</f>
        <v>41995</v>
      </c>
      <c r="C200" s="26" t="str">
        <f>IFERROR(__xludf.DUMMYFUNCTION("""COMPUTED_VALUE"""),"Consumer")</f>
        <v>Consumer</v>
      </c>
      <c r="D200" s="26" t="str">
        <f>IFERROR(__xludf.DUMMYFUNCTION("""COMPUTED_VALUE"""),"California")</f>
        <v>California</v>
      </c>
      <c r="E200" s="26" t="str">
        <f>IFERROR(__xludf.DUMMYFUNCTION("""COMPUTED_VALUE"""),"West")</f>
        <v>West</v>
      </c>
      <c r="F200" s="26">
        <f>IFERROR(__xludf.DUMMYFUNCTION("""COMPUTED_VALUE"""),11.76)</f>
        <v>11.76</v>
      </c>
      <c r="G200" s="26">
        <f>IFERROR(__xludf.DUMMYFUNCTION("""COMPUTED_VALUE"""),4.0)</f>
        <v>4</v>
      </c>
      <c r="H200" s="26">
        <f>IFERROR(__xludf.DUMMYFUNCTION("""COMPUTED_VALUE"""),3.1752)</f>
        <v>3.1752</v>
      </c>
    </row>
    <row r="201">
      <c r="A201" s="26" t="str">
        <f>IFERROR(__xludf.DUMMYFUNCTION("""COMPUTED_VALUE"""),"CA-2014-111871")</f>
        <v>CA-2014-111871</v>
      </c>
      <c r="B201" s="27">
        <f>IFERROR(__xludf.DUMMYFUNCTION("""COMPUTED_VALUE"""),41716.0)</f>
        <v>41716</v>
      </c>
      <c r="C201" s="26" t="str">
        <f>IFERROR(__xludf.DUMMYFUNCTION("""COMPUTED_VALUE"""),"Home Office")</f>
        <v>Home Office</v>
      </c>
      <c r="D201" s="26" t="str">
        <f>IFERROR(__xludf.DUMMYFUNCTION("""COMPUTED_VALUE"""),"California")</f>
        <v>California</v>
      </c>
      <c r="E201" s="26" t="str">
        <f>IFERROR(__xludf.DUMMYFUNCTION("""COMPUTED_VALUE"""),"West")</f>
        <v>West</v>
      </c>
      <c r="F201" s="26">
        <f>IFERROR(__xludf.DUMMYFUNCTION("""COMPUTED_VALUE"""),1198.33)</f>
        <v>1198.33</v>
      </c>
      <c r="G201" s="26">
        <f>IFERROR(__xludf.DUMMYFUNCTION("""COMPUTED_VALUE"""),10.0)</f>
        <v>10</v>
      </c>
      <c r="H201" s="26">
        <f>IFERROR(__xludf.DUMMYFUNCTION("""COMPUTED_VALUE"""),70.49)</f>
        <v>70.49</v>
      </c>
    </row>
    <row r="202">
      <c r="A202" s="26" t="str">
        <f>IFERROR(__xludf.DUMMYFUNCTION("""COMPUTED_VALUE"""),"CA-2014-128538")</f>
        <v>CA-2014-128538</v>
      </c>
      <c r="B202" s="29">
        <f>IFERROR(__xludf.DUMMYFUNCTION("""COMPUTED_VALUE"""),41923.0)</f>
        <v>41923</v>
      </c>
      <c r="C202" s="26" t="str">
        <f>IFERROR(__xludf.DUMMYFUNCTION("""COMPUTED_VALUE"""),"Consumer")</f>
        <v>Consumer</v>
      </c>
      <c r="D202" s="26" t="str">
        <f>IFERROR(__xludf.DUMMYFUNCTION("""COMPUTED_VALUE"""),"California")</f>
        <v>California</v>
      </c>
      <c r="E202" s="26" t="str">
        <f>IFERROR(__xludf.DUMMYFUNCTION("""COMPUTED_VALUE"""),"West")</f>
        <v>West</v>
      </c>
      <c r="F202" s="26">
        <f>IFERROR(__xludf.DUMMYFUNCTION("""COMPUTED_VALUE"""),7.64)</f>
        <v>7.64</v>
      </c>
      <c r="G202" s="26">
        <f>IFERROR(__xludf.DUMMYFUNCTION("""COMPUTED_VALUE"""),1.0)</f>
        <v>1</v>
      </c>
      <c r="H202" s="26">
        <f>IFERROR(__xludf.DUMMYFUNCTION("""COMPUTED_VALUE"""),3.7436)</f>
        <v>3.7436</v>
      </c>
    </row>
    <row r="203">
      <c r="A203" s="26" t="str">
        <f>IFERROR(__xludf.DUMMYFUNCTION("""COMPUTED_VALUE"""),"CA-2014-100090")</f>
        <v>CA-2014-100090</v>
      </c>
      <c r="B203" s="27">
        <f>IFERROR(__xludf.DUMMYFUNCTION("""COMPUTED_VALUE"""),41828.0)</f>
        <v>41828</v>
      </c>
      <c r="C203" s="26" t="str">
        <f>IFERROR(__xludf.DUMMYFUNCTION("""COMPUTED_VALUE"""),"Corporate")</f>
        <v>Corporate</v>
      </c>
      <c r="D203" s="26" t="str">
        <f>IFERROR(__xludf.DUMMYFUNCTION("""COMPUTED_VALUE"""),"California")</f>
        <v>California</v>
      </c>
      <c r="E203" s="26" t="str">
        <f>IFERROR(__xludf.DUMMYFUNCTION("""COMPUTED_VALUE"""),"West")</f>
        <v>West</v>
      </c>
      <c r="F203" s="26">
        <f>IFERROR(__xludf.DUMMYFUNCTION("""COMPUTED_VALUE"""),502.488)</f>
        <v>502.488</v>
      </c>
      <c r="G203" s="26">
        <f>IFERROR(__xludf.DUMMYFUNCTION("""COMPUTED_VALUE"""),3.0)</f>
        <v>3</v>
      </c>
      <c r="H203" s="26">
        <f>IFERROR(__xludf.DUMMYFUNCTION("""COMPUTED_VALUE"""),-87.9354)</f>
        <v>-87.9354</v>
      </c>
    </row>
    <row r="204">
      <c r="A204" s="26" t="str">
        <f>IFERROR(__xludf.DUMMYFUNCTION("""COMPUTED_VALUE"""),"CA-2014-169852")</f>
        <v>CA-2014-169852</v>
      </c>
      <c r="B204" s="29">
        <f>IFERROR(__xludf.DUMMYFUNCTION("""COMPUTED_VALUE"""),41933.0)</f>
        <v>41933</v>
      </c>
      <c r="C204" s="26" t="str">
        <f>IFERROR(__xludf.DUMMYFUNCTION("""COMPUTED_VALUE"""),"Corporate")</f>
        <v>Corporate</v>
      </c>
      <c r="D204" s="26" t="str">
        <f>IFERROR(__xludf.DUMMYFUNCTION("""COMPUTED_VALUE"""),"California")</f>
        <v>California</v>
      </c>
      <c r="E204" s="26" t="str">
        <f>IFERROR(__xludf.DUMMYFUNCTION("""COMPUTED_VALUE"""),"West")</f>
        <v>West</v>
      </c>
      <c r="F204" s="26">
        <f>IFERROR(__xludf.DUMMYFUNCTION("""COMPUTED_VALUE"""),36.36)</f>
        <v>36.36</v>
      </c>
      <c r="G204" s="26">
        <f>IFERROR(__xludf.DUMMYFUNCTION("""COMPUTED_VALUE"""),3.0)</f>
        <v>3</v>
      </c>
      <c r="H204" s="26">
        <f>IFERROR(__xludf.DUMMYFUNCTION("""COMPUTED_VALUE"""),12.2715)</f>
        <v>12.2715</v>
      </c>
    </row>
    <row r="205">
      <c r="A205" s="26" t="str">
        <f>IFERROR(__xludf.DUMMYFUNCTION("""COMPUTED_VALUE"""),"CA-2014-112837")</f>
        <v>CA-2014-112837</v>
      </c>
      <c r="B205" s="27">
        <f>IFERROR(__xludf.DUMMYFUNCTION("""COMPUTED_VALUE"""),41893.0)</f>
        <v>41893</v>
      </c>
      <c r="C205" s="26" t="str">
        <f>IFERROR(__xludf.DUMMYFUNCTION("""COMPUTED_VALUE"""),"Consumer")</f>
        <v>Consumer</v>
      </c>
      <c r="D205" s="26" t="str">
        <f>IFERROR(__xludf.DUMMYFUNCTION("""COMPUTED_VALUE"""),"California")</f>
        <v>California</v>
      </c>
      <c r="E205" s="26" t="str">
        <f>IFERROR(__xludf.DUMMYFUNCTION("""COMPUTED_VALUE"""),"West")</f>
        <v>West</v>
      </c>
      <c r="F205" s="26">
        <f>IFERROR(__xludf.DUMMYFUNCTION("""COMPUTED_VALUE"""),127.95)</f>
        <v>127.95</v>
      </c>
      <c r="G205" s="26">
        <f>IFERROR(__xludf.DUMMYFUNCTION("""COMPUTED_VALUE"""),3.0)</f>
        <v>3</v>
      </c>
      <c r="H205" s="26">
        <f>IFERROR(__xludf.DUMMYFUNCTION("""COMPUTED_VALUE"""),21.7515)</f>
        <v>21.7515</v>
      </c>
    </row>
    <row r="206">
      <c r="A206" s="26" t="str">
        <f>IFERROR(__xludf.DUMMYFUNCTION("""COMPUTED_VALUE"""),"US-2014-107993")</f>
        <v>US-2014-107993</v>
      </c>
      <c r="B206" s="29">
        <f>IFERROR(__xludf.DUMMYFUNCTION("""COMPUTED_VALUE"""),41968.0)</f>
        <v>41968</v>
      </c>
      <c r="C206" s="26" t="str">
        <f>IFERROR(__xludf.DUMMYFUNCTION("""COMPUTED_VALUE"""),"Consumer")</f>
        <v>Consumer</v>
      </c>
      <c r="D206" s="26" t="str">
        <f>IFERROR(__xludf.DUMMYFUNCTION("""COMPUTED_VALUE"""),"Oregon")</f>
        <v>Oregon</v>
      </c>
      <c r="E206" s="26" t="str">
        <f>IFERROR(__xludf.DUMMYFUNCTION("""COMPUTED_VALUE"""),"West")</f>
        <v>West</v>
      </c>
      <c r="F206" s="26">
        <f>IFERROR(__xludf.DUMMYFUNCTION("""COMPUTED_VALUE"""),51.016)</f>
        <v>51.016</v>
      </c>
      <c r="G206" s="26">
        <f>IFERROR(__xludf.DUMMYFUNCTION("""COMPUTED_VALUE"""),7.0)</f>
        <v>7</v>
      </c>
      <c r="H206" s="26">
        <f>IFERROR(__xludf.DUMMYFUNCTION("""COMPUTED_VALUE"""),8.2901)</f>
        <v>8.2901</v>
      </c>
    </row>
    <row r="207">
      <c r="A207" s="26" t="str">
        <f>IFERROR(__xludf.DUMMYFUNCTION("""COMPUTED_VALUE"""),"US-2014-163797")</f>
        <v>US-2014-163797</v>
      </c>
      <c r="B207" s="27">
        <f>IFERROR(__xludf.DUMMYFUNCTION("""COMPUTED_VALUE"""),41737.0)</f>
        <v>41737</v>
      </c>
      <c r="C207" s="26" t="str">
        <f>IFERROR(__xludf.DUMMYFUNCTION("""COMPUTED_VALUE"""),"Home Office")</f>
        <v>Home Office</v>
      </c>
      <c r="D207" s="26" t="str">
        <f>IFERROR(__xludf.DUMMYFUNCTION("""COMPUTED_VALUE"""),"Arizona")</f>
        <v>Arizona</v>
      </c>
      <c r="E207" s="26" t="str">
        <f>IFERROR(__xludf.DUMMYFUNCTION("""COMPUTED_VALUE"""),"West")</f>
        <v>West</v>
      </c>
      <c r="F207" s="26">
        <f>IFERROR(__xludf.DUMMYFUNCTION("""COMPUTED_VALUE"""),49.792)</f>
        <v>49.792</v>
      </c>
      <c r="G207" s="26">
        <f>IFERROR(__xludf.DUMMYFUNCTION("""COMPUTED_VALUE"""),8.0)</f>
        <v>8</v>
      </c>
      <c r="H207" s="26">
        <f>IFERROR(__xludf.DUMMYFUNCTION("""COMPUTED_VALUE"""),-11.8256)</f>
        <v>-11.8256</v>
      </c>
    </row>
    <row r="208">
      <c r="A208" s="26" t="str">
        <f>IFERROR(__xludf.DUMMYFUNCTION("""COMPUTED_VALUE"""),"CA-2014-159121")</f>
        <v>CA-2014-159121</v>
      </c>
      <c r="B208" s="27">
        <f>IFERROR(__xludf.DUMMYFUNCTION("""COMPUTED_VALUE"""),41846.0)</f>
        <v>41846</v>
      </c>
      <c r="C208" s="26" t="str">
        <f>IFERROR(__xludf.DUMMYFUNCTION("""COMPUTED_VALUE"""),"Corporate")</f>
        <v>Corporate</v>
      </c>
      <c r="D208" s="26" t="str">
        <f>IFERROR(__xludf.DUMMYFUNCTION("""COMPUTED_VALUE"""),"Utah")</f>
        <v>Utah</v>
      </c>
      <c r="E208" s="26" t="str">
        <f>IFERROR(__xludf.DUMMYFUNCTION("""COMPUTED_VALUE"""),"West")</f>
        <v>West</v>
      </c>
      <c r="F208" s="26">
        <f>IFERROR(__xludf.DUMMYFUNCTION("""COMPUTED_VALUE"""),111.93)</f>
        <v>111.93</v>
      </c>
      <c r="G208" s="26">
        <f>IFERROR(__xludf.DUMMYFUNCTION("""COMPUTED_VALUE"""),7.0)</f>
        <v>7</v>
      </c>
      <c r="H208" s="26">
        <f>IFERROR(__xludf.DUMMYFUNCTION("""COMPUTED_VALUE"""),34.6983)</f>
        <v>34.6983</v>
      </c>
    </row>
    <row r="209">
      <c r="A209" s="26" t="str">
        <f>IFERROR(__xludf.DUMMYFUNCTION("""COMPUTED_VALUE"""),"CA-2014-103660")</f>
        <v>CA-2014-103660</v>
      </c>
      <c r="B209" s="27">
        <f>IFERROR(__xludf.DUMMYFUNCTION("""COMPUTED_VALUE"""),41876.0)</f>
        <v>41876</v>
      </c>
      <c r="C209" s="26" t="str">
        <f>IFERROR(__xludf.DUMMYFUNCTION("""COMPUTED_VALUE"""),"Consumer")</f>
        <v>Consumer</v>
      </c>
      <c r="D209" s="26" t="str">
        <f>IFERROR(__xludf.DUMMYFUNCTION("""COMPUTED_VALUE"""),"Washington")</f>
        <v>Washington</v>
      </c>
      <c r="E209" s="26" t="str">
        <f>IFERROR(__xludf.DUMMYFUNCTION("""COMPUTED_VALUE"""),"West")</f>
        <v>West</v>
      </c>
      <c r="F209" s="26">
        <f>IFERROR(__xludf.DUMMYFUNCTION("""COMPUTED_VALUE"""),1007.944)</f>
        <v>1007.944</v>
      </c>
      <c r="G209" s="26">
        <f>IFERROR(__xludf.DUMMYFUNCTION("""COMPUTED_VALUE"""),7.0)</f>
        <v>7</v>
      </c>
      <c r="H209" s="26">
        <f>IFERROR(__xludf.DUMMYFUNCTION("""COMPUTED_VALUE"""),75.5958)</f>
        <v>75.5958</v>
      </c>
    </row>
    <row r="210">
      <c r="A210" s="26" t="str">
        <f>IFERROR(__xludf.DUMMYFUNCTION("""COMPUTED_VALUE"""),"CA-2014-130449")</f>
        <v>CA-2014-130449</v>
      </c>
      <c r="B210" s="27">
        <f>IFERROR(__xludf.DUMMYFUNCTION("""COMPUTED_VALUE"""),41888.0)</f>
        <v>41888</v>
      </c>
      <c r="C210" s="26" t="str">
        <f>IFERROR(__xludf.DUMMYFUNCTION("""COMPUTED_VALUE"""),"Corporate")</f>
        <v>Corporate</v>
      </c>
      <c r="D210" s="26" t="str">
        <f>IFERROR(__xludf.DUMMYFUNCTION("""COMPUTED_VALUE"""),"California")</f>
        <v>California</v>
      </c>
      <c r="E210" s="26" t="str">
        <f>IFERROR(__xludf.DUMMYFUNCTION("""COMPUTED_VALUE"""),"West")</f>
        <v>West</v>
      </c>
      <c r="F210" s="26">
        <f>IFERROR(__xludf.DUMMYFUNCTION("""COMPUTED_VALUE"""),41.88)</f>
        <v>41.88</v>
      </c>
      <c r="G210" s="26">
        <f>IFERROR(__xludf.DUMMYFUNCTION("""COMPUTED_VALUE"""),6.0)</f>
        <v>6</v>
      </c>
      <c r="H210" s="26">
        <f>IFERROR(__xludf.DUMMYFUNCTION("""COMPUTED_VALUE"""),12.1452)</f>
        <v>12.1452</v>
      </c>
    </row>
    <row r="211">
      <c r="A211" s="26" t="str">
        <f>IFERROR(__xludf.DUMMYFUNCTION("""COMPUTED_VALUE"""),"CA-2014-138513")</f>
        <v>CA-2014-138513</v>
      </c>
      <c r="B211" s="27">
        <f>IFERROR(__xludf.DUMMYFUNCTION("""COMPUTED_VALUE"""),41782.0)</f>
        <v>41782</v>
      </c>
      <c r="C211" s="26" t="str">
        <f>IFERROR(__xludf.DUMMYFUNCTION("""COMPUTED_VALUE"""),"Consumer")</f>
        <v>Consumer</v>
      </c>
      <c r="D211" s="26" t="str">
        <f>IFERROR(__xludf.DUMMYFUNCTION("""COMPUTED_VALUE"""),"Washington")</f>
        <v>Washington</v>
      </c>
      <c r="E211" s="26" t="str">
        <f>IFERROR(__xludf.DUMMYFUNCTION("""COMPUTED_VALUE"""),"West")</f>
        <v>West</v>
      </c>
      <c r="F211" s="26">
        <f>IFERROR(__xludf.DUMMYFUNCTION("""COMPUTED_VALUE"""),12.96)</f>
        <v>12.96</v>
      </c>
      <c r="G211" s="26">
        <f>IFERROR(__xludf.DUMMYFUNCTION("""COMPUTED_VALUE"""),2.0)</f>
        <v>2</v>
      </c>
      <c r="H211" s="26">
        <f>IFERROR(__xludf.DUMMYFUNCTION("""COMPUTED_VALUE"""),6.2208)</f>
        <v>6.2208</v>
      </c>
    </row>
    <row r="212">
      <c r="A212" s="26" t="str">
        <f>IFERROR(__xludf.DUMMYFUNCTION("""COMPUTED_VALUE"""),"CA-2014-154837")</f>
        <v>CA-2014-154837</v>
      </c>
      <c r="B212" s="27">
        <f>IFERROR(__xludf.DUMMYFUNCTION("""COMPUTED_VALUE"""),41874.0)</f>
        <v>41874</v>
      </c>
      <c r="C212" s="26" t="str">
        <f>IFERROR(__xludf.DUMMYFUNCTION("""COMPUTED_VALUE"""),"Corporate")</f>
        <v>Corporate</v>
      </c>
      <c r="D212" s="26" t="str">
        <f>IFERROR(__xludf.DUMMYFUNCTION("""COMPUTED_VALUE"""),"California")</f>
        <v>California</v>
      </c>
      <c r="E212" s="26" t="str">
        <f>IFERROR(__xludf.DUMMYFUNCTION("""COMPUTED_VALUE"""),"West")</f>
        <v>West</v>
      </c>
      <c r="F212" s="26">
        <f>IFERROR(__xludf.DUMMYFUNCTION("""COMPUTED_VALUE"""),49.568)</f>
        <v>49.568</v>
      </c>
      <c r="G212" s="26">
        <f>IFERROR(__xludf.DUMMYFUNCTION("""COMPUTED_VALUE"""),2.0)</f>
        <v>2</v>
      </c>
      <c r="H212" s="26">
        <f>IFERROR(__xludf.DUMMYFUNCTION("""COMPUTED_VALUE"""),17.3488)</f>
        <v>17.3488</v>
      </c>
    </row>
    <row r="213">
      <c r="A213" s="26" t="str">
        <f>IFERROR(__xludf.DUMMYFUNCTION("""COMPUTED_VALUE"""),"CA-2014-150329")</f>
        <v>CA-2014-150329</v>
      </c>
      <c r="B213" s="29">
        <f>IFERROR(__xludf.DUMMYFUNCTION("""COMPUTED_VALUE"""),41922.0)</f>
        <v>41922</v>
      </c>
      <c r="C213" s="26" t="str">
        <f>IFERROR(__xludf.DUMMYFUNCTION("""COMPUTED_VALUE"""),"Home Office")</f>
        <v>Home Office</v>
      </c>
      <c r="D213" s="26" t="str">
        <f>IFERROR(__xludf.DUMMYFUNCTION("""COMPUTED_VALUE"""),"Arizona")</f>
        <v>Arizona</v>
      </c>
      <c r="E213" s="26" t="str">
        <f>IFERROR(__xludf.DUMMYFUNCTION("""COMPUTED_VALUE"""),"West")</f>
        <v>West</v>
      </c>
      <c r="F213" s="26">
        <f>IFERROR(__xludf.DUMMYFUNCTION("""COMPUTED_VALUE"""),46.872)</f>
        <v>46.872</v>
      </c>
      <c r="G213" s="26">
        <f>IFERROR(__xludf.DUMMYFUNCTION("""COMPUTED_VALUE"""),7.0)</f>
        <v>7</v>
      </c>
      <c r="H213" s="26">
        <f>IFERROR(__xludf.DUMMYFUNCTION("""COMPUTED_VALUE"""),3.5154)</f>
        <v>3.5154</v>
      </c>
    </row>
    <row r="214">
      <c r="A214" s="26" t="str">
        <f>IFERROR(__xludf.DUMMYFUNCTION("""COMPUTED_VALUE"""),"CA-2014-109134")</f>
        <v>CA-2014-109134</v>
      </c>
      <c r="B214" s="27">
        <f>IFERROR(__xludf.DUMMYFUNCTION("""COMPUTED_VALUE"""),41948.0)</f>
        <v>41948</v>
      </c>
      <c r="C214" s="26" t="str">
        <f>IFERROR(__xludf.DUMMYFUNCTION("""COMPUTED_VALUE"""),"Home Office")</f>
        <v>Home Office</v>
      </c>
      <c r="D214" s="26" t="str">
        <f>IFERROR(__xludf.DUMMYFUNCTION("""COMPUTED_VALUE"""),"California")</f>
        <v>California</v>
      </c>
      <c r="E214" s="26" t="str">
        <f>IFERROR(__xludf.DUMMYFUNCTION("""COMPUTED_VALUE"""),"West")</f>
        <v>West</v>
      </c>
      <c r="F214" s="26">
        <f>IFERROR(__xludf.DUMMYFUNCTION("""COMPUTED_VALUE"""),20.04)</f>
        <v>20.04</v>
      </c>
      <c r="G214" s="26">
        <f>IFERROR(__xludf.DUMMYFUNCTION("""COMPUTED_VALUE"""),6.0)</f>
        <v>6</v>
      </c>
      <c r="H214" s="26">
        <f>IFERROR(__xludf.DUMMYFUNCTION("""COMPUTED_VALUE"""),8.8176)</f>
        <v>8.8176</v>
      </c>
    </row>
    <row r="215">
      <c r="A215" s="26" t="str">
        <f>IFERROR(__xludf.DUMMYFUNCTION("""COMPUTED_VALUE"""),"CA-2014-120096")</f>
        <v>CA-2014-120096</v>
      </c>
      <c r="B215" s="27">
        <f>IFERROR(__xludf.DUMMYFUNCTION("""COMPUTED_VALUE"""),41824.0)</f>
        <v>41824</v>
      </c>
      <c r="C215" s="26" t="str">
        <f>IFERROR(__xludf.DUMMYFUNCTION("""COMPUTED_VALUE"""),"Corporate")</f>
        <v>Corporate</v>
      </c>
      <c r="D215" s="26" t="str">
        <f>IFERROR(__xludf.DUMMYFUNCTION("""COMPUTED_VALUE"""),"Colorado")</f>
        <v>Colorado</v>
      </c>
      <c r="E215" s="26" t="str">
        <f>IFERROR(__xludf.DUMMYFUNCTION("""COMPUTED_VALUE"""),"West")</f>
        <v>West</v>
      </c>
      <c r="F215" s="26">
        <f>IFERROR(__xludf.DUMMYFUNCTION("""COMPUTED_VALUE"""),177.536)</f>
        <v>177.536</v>
      </c>
      <c r="G215" s="26">
        <f>IFERROR(__xludf.DUMMYFUNCTION("""COMPUTED_VALUE"""),4.0)</f>
        <v>4</v>
      </c>
      <c r="H215" s="26">
        <f>IFERROR(__xludf.DUMMYFUNCTION("""COMPUTED_VALUE"""),62.1376)</f>
        <v>62.1376</v>
      </c>
    </row>
    <row r="216">
      <c r="A216" s="26" t="str">
        <f>IFERROR(__xludf.DUMMYFUNCTION("""COMPUTED_VALUE"""),"CA-2014-152233")</f>
        <v>CA-2014-152233</v>
      </c>
      <c r="B216" s="27">
        <f>IFERROR(__xludf.DUMMYFUNCTION("""COMPUTED_VALUE"""),41917.0)</f>
        <v>41917</v>
      </c>
      <c r="C216" s="26" t="str">
        <f>IFERROR(__xludf.DUMMYFUNCTION("""COMPUTED_VALUE"""),"Consumer")</f>
        <v>Consumer</v>
      </c>
      <c r="D216" s="26" t="str">
        <f>IFERROR(__xludf.DUMMYFUNCTION("""COMPUTED_VALUE"""),"California")</f>
        <v>California</v>
      </c>
      <c r="E216" s="26" t="str">
        <f>IFERROR(__xludf.DUMMYFUNCTION("""COMPUTED_VALUE"""),"West")</f>
        <v>West</v>
      </c>
      <c r="F216" s="26">
        <f>IFERROR(__xludf.DUMMYFUNCTION("""COMPUTED_VALUE"""),99.98)</f>
        <v>99.98</v>
      </c>
      <c r="G216" s="26">
        <f>IFERROR(__xludf.DUMMYFUNCTION("""COMPUTED_VALUE"""),2.0)</f>
        <v>2</v>
      </c>
      <c r="H216" s="26">
        <f>IFERROR(__xludf.DUMMYFUNCTION("""COMPUTED_VALUE"""),34.993)</f>
        <v>34.993</v>
      </c>
    </row>
    <row r="217">
      <c r="A217" s="26" t="str">
        <f>IFERROR(__xludf.DUMMYFUNCTION("""COMPUTED_VALUE"""),"CA-2014-144414")</f>
        <v>CA-2014-144414</v>
      </c>
      <c r="B217" s="27">
        <f>IFERROR(__xludf.DUMMYFUNCTION("""COMPUTED_VALUE"""),41807.0)</f>
        <v>41807</v>
      </c>
      <c r="C217" s="26" t="str">
        <f>IFERROR(__xludf.DUMMYFUNCTION("""COMPUTED_VALUE"""),"Consumer")</f>
        <v>Consumer</v>
      </c>
      <c r="D217" s="26" t="str">
        <f>IFERROR(__xludf.DUMMYFUNCTION("""COMPUTED_VALUE"""),"Washington")</f>
        <v>Washington</v>
      </c>
      <c r="E217" s="26" t="str">
        <f>IFERROR(__xludf.DUMMYFUNCTION("""COMPUTED_VALUE"""),"West")</f>
        <v>West</v>
      </c>
      <c r="F217" s="26">
        <f>IFERROR(__xludf.DUMMYFUNCTION("""COMPUTED_VALUE"""),6.24)</f>
        <v>6.24</v>
      </c>
      <c r="G217" s="26">
        <f>IFERROR(__xludf.DUMMYFUNCTION("""COMPUTED_VALUE"""),3.0)</f>
        <v>3</v>
      </c>
      <c r="H217" s="26">
        <f>IFERROR(__xludf.DUMMYFUNCTION("""COMPUTED_VALUE"""),2.6208)</f>
        <v>2.6208</v>
      </c>
    </row>
    <row r="218">
      <c r="A218" s="26" t="str">
        <f>IFERROR(__xludf.DUMMYFUNCTION("""COMPUTED_VALUE"""),"CA-2014-147543")</f>
        <v>CA-2014-147543</v>
      </c>
      <c r="B218" s="27">
        <f>IFERROR(__xludf.DUMMYFUNCTION("""COMPUTED_VALUE"""),41826.0)</f>
        <v>41826</v>
      </c>
      <c r="C218" s="26" t="str">
        <f>IFERROR(__xludf.DUMMYFUNCTION("""COMPUTED_VALUE"""),"Home Office")</f>
        <v>Home Office</v>
      </c>
      <c r="D218" s="26" t="str">
        <f>IFERROR(__xludf.DUMMYFUNCTION("""COMPUTED_VALUE"""),"California")</f>
        <v>California</v>
      </c>
      <c r="E218" s="26" t="str">
        <f>IFERROR(__xludf.DUMMYFUNCTION("""COMPUTED_VALUE"""),"West")</f>
        <v>West</v>
      </c>
      <c r="F218" s="26">
        <f>IFERROR(__xludf.DUMMYFUNCTION("""COMPUTED_VALUE"""),478.48)</f>
        <v>478.48</v>
      </c>
      <c r="G218" s="26">
        <f>IFERROR(__xludf.DUMMYFUNCTION("""COMPUTED_VALUE"""),2.0)</f>
        <v>2</v>
      </c>
      <c r="H218" s="26">
        <f>IFERROR(__xludf.DUMMYFUNCTION("""COMPUTED_VALUE"""),47.848)</f>
        <v>47.848</v>
      </c>
    </row>
    <row r="219">
      <c r="A219" s="26" t="str">
        <f>IFERROR(__xludf.DUMMYFUNCTION("""COMPUTED_VALUE"""),"CA-2014-101462")</f>
        <v>CA-2014-101462</v>
      </c>
      <c r="B219" s="27">
        <f>IFERROR(__xludf.DUMMYFUNCTION("""COMPUTED_VALUE"""),41749.0)</f>
        <v>41749</v>
      </c>
      <c r="C219" s="26" t="str">
        <f>IFERROR(__xludf.DUMMYFUNCTION("""COMPUTED_VALUE"""),"Consumer")</f>
        <v>Consumer</v>
      </c>
      <c r="D219" s="26" t="str">
        <f>IFERROR(__xludf.DUMMYFUNCTION("""COMPUTED_VALUE"""),"California")</f>
        <v>California</v>
      </c>
      <c r="E219" s="26" t="str">
        <f>IFERROR(__xludf.DUMMYFUNCTION("""COMPUTED_VALUE"""),"West")</f>
        <v>West</v>
      </c>
      <c r="F219" s="26">
        <f>IFERROR(__xludf.DUMMYFUNCTION("""COMPUTED_VALUE"""),59.92)</f>
        <v>59.92</v>
      </c>
      <c r="G219" s="26">
        <f>IFERROR(__xludf.DUMMYFUNCTION("""COMPUTED_VALUE"""),4.0)</f>
        <v>4</v>
      </c>
      <c r="H219" s="26">
        <f>IFERROR(__xludf.DUMMYFUNCTION("""COMPUTED_VALUE"""),27.5632)</f>
        <v>27.5632</v>
      </c>
    </row>
    <row r="220">
      <c r="A220" s="26" t="str">
        <f>IFERROR(__xludf.DUMMYFUNCTION("""COMPUTED_VALUE"""),"CA-2014-124247")</f>
        <v>CA-2014-124247</v>
      </c>
      <c r="B220" s="29">
        <f>IFERROR(__xludf.DUMMYFUNCTION("""COMPUTED_VALUE"""),41989.0)</f>
        <v>41989</v>
      </c>
      <c r="C220" s="26" t="str">
        <f>IFERROR(__xludf.DUMMYFUNCTION("""COMPUTED_VALUE"""),"Corporate")</f>
        <v>Corporate</v>
      </c>
      <c r="D220" s="26" t="str">
        <f>IFERROR(__xludf.DUMMYFUNCTION("""COMPUTED_VALUE"""),"California")</f>
        <v>California</v>
      </c>
      <c r="E220" s="26" t="str">
        <f>IFERROR(__xludf.DUMMYFUNCTION("""COMPUTED_VALUE"""),"West")</f>
        <v>West</v>
      </c>
      <c r="F220" s="26">
        <f>IFERROR(__xludf.DUMMYFUNCTION("""COMPUTED_VALUE"""),1403.92)</f>
        <v>1403.92</v>
      </c>
      <c r="G220" s="26">
        <f>IFERROR(__xludf.DUMMYFUNCTION("""COMPUTED_VALUE"""),5.0)</f>
        <v>5</v>
      </c>
      <c r="H220" s="26">
        <f>IFERROR(__xludf.DUMMYFUNCTION("""COMPUTED_VALUE"""),70.196)</f>
        <v>70.196</v>
      </c>
    </row>
    <row r="221">
      <c r="A221" s="26" t="str">
        <f>IFERROR(__xludf.DUMMYFUNCTION("""COMPUTED_VALUE"""),"CA-2014-133158")</f>
        <v>CA-2014-133158</v>
      </c>
      <c r="B221" s="27">
        <f>IFERROR(__xludf.DUMMYFUNCTION("""COMPUTED_VALUE"""),41870.0)</f>
        <v>41870</v>
      </c>
      <c r="C221" s="26" t="str">
        <f>IFERROR(__xludf.DUMMYFUNCTION("""COMPUTED_VALUE"""),"Corporate")</f>
        <v>Corporate</v>
      </c>
      <c r="D221" s="26" t="str">
        <f>IFERROR(__xludf.DUMMYFUNCTION("""COMPUTED_VALUE"""),"California")</f>
        <v>California</v>
      </c>
      <c r="E221" s="26" t="str">
        <f>IFERROR(__xludf.DUMMYFUNCTION("""COMPUTED_VALUE"""),"West")</f>
        <v>West</v>
      </c>
      <c r="F221" s="26">
        <f>IFERROR(__xludf.DUMMYFUNCTION("""COMPUTED_VALUE"""),289.24)</f>
        <v>289.24</v>
      </c>
      <c r="G221" s="26">
        <f>IFERROR(__xludf.DUMMYFUNCTION("""COMPUTED_VALUE"""),7.0)</f>
        <v>7</v>
      </c>
      <c r="H221" s="26">
        <f>IFERROR(__xludf.DUMMYFUNCTION("""COMPUTED_VALUE"""),26.0316)</f>
        <v>26.0316</v>
      </c>
    </row>
    <row r="222">
      <c r="A222" s="26" t="str">
        <f>IFERROR(__xludf.DUMMYFUNCTION("""COMPUTED_VALUE"""),"CA-2014-124737")</f>
        <v>CA-2014-124737</v>
      </c>
      <c r="B222" s="27">
        <f>IFERROR(__xludf.DUMMYFUNCTION("""COMPUTED_VALUE"""),41874.0)</f>
        <v>41874</v>
      </c>
      <c r="C222" s="26" t="str">
        <f>IFERROR(__xludf.DUMMYFUNCTION("""COMPUTED_VALUE"""),"Consumer")</f>
        <v>Consumer</v>
      </c>
      <c r="D222" s="26" t="str">
        <f>IFERROR(__xludf.DUMMYFUNCTION("""COMPUTED_VALUE"""),"Colorado")</f>
        <v>Colorado</v>
      </c>
      <c r="E222" s="26" t="str">
        <f>IFERROR(__xludf.DUMMYFUNCTION("""COMPUTED_VALUE"""),"West")</f>
        <v>West</v>
      </c>
      <c r="F222" s="26">
        <f>IFERROR(__xludf.DUMMYFUNCTION("""COMPUTED_VALUE"""),15.552)</f>
        <v>15.552</v>
      </c>
      <c r="G222" s="26">
        <f>IFERROR(__xludf.DUMMYFUNCTION("""COMPUTED_VALUE"""),3.0)</f>
        <v>3</v>
      </c>
      <c r="H222" s="26">
        <f>IFERROR(__xludf.DUMMYFUNCTION("""COMPUTED_VALUE"""),5.4432)</f>
        <v>5.4432</v>
      </c>
    </row>
    <row r="223">
      <c r="A223" s="26" t="str">
        <f>IFERROR(__xludf.DUMMYFUNCTION("""COMPUTED_VALUE"""),"CA-2014-150581")</f>
        <v>CA-2014-150581</v>
      </c>
      <c r="B223" s="27">
        <f>IFERROR(__xludf.DUMMYFUNCTION("""COMPUTED_VALUE"""),41737.0)</f>
        <v>41737</v>
      </c>
      <c r="C223" s="26" t="str">
        <f>IFERROR(__xludf.DUMMYFUNCTION("""COMPUTED_VALUE"""),"Home Office")</f>
        <v>Home Office</v>
      </c>
      <c r="D223" s="26" t="str">
        <f>IFERROR(__xludf.DUMMYFUNCTION("""COMPUTED_VALUE"""),"California")</f>
        <v>California</v>
      </c>
      <c r="E223" s="26" t="str">
        <f>IFERROR(__xludf.DUMMYFUNCTION("""COMPUTED_VALUE"""),"West")</f>
        <v>West</v>
      </c>
      <c r="F223" s="26">
        <f>IFERROR(__xludf.DUMMYFUNCTION("""COMPUTED_VALUE"""),99.592)</f>
        <v>99.592</v>
      </c>
      <c r="G223" s="26">
        <f>IFERROR(__xludf.DUMMYFUNCTION("""COMPUTED_VALUE"""),1.0)</f>
        <v>1</v>
      </c>
      <c r="H223" s="26">
        <f>IFERROR(__xludf.DUMMYFUNCTION("""COMPUTED_VALUE"""),2.4898)</f>
        <v>2.4898</v>
      </c>
    </row>
    <row r="224">
      <c r="A224" s="26" t="str">
        <f>IFERROR(__xludf.DUMMYFUNCTION("""COMPUTED_VALUE"""),"CA-2014-141355")</f>
        <v>CA-2014-141355</v>
      </c>
      <c r="B224" s="27">
        <f>IFERROR(__xludf.DUMMYFUNCTION("""COMPUTED_VALUE"""),41907.0)</f>
        <v>41907</v>
      </c>
      <c r="C224" s="26" t="str">
        <f>IFERROR(__xludf.DUMMYFUNCTION("""COMPUTED_VALUE"""),"Home Office")</f>
        <v>Home Office</v>
      </c>
      <c r="D224" s="26" t="str">
        <f>IFERROR(__xludf.DUMMYFUNCTION("""COMPUTED_VALUE"""),"Colorado")</f>
        <v>Colorado</v>
      </c>
      <c r="E224" s="26" t="str">
        <f>IFERROR(__xludf.DUMMYFUNCTION("""COMPUTED_VALUE"""),"West")</f>
        <v>West</v>
      </c>
      <c r="F224" s="26">
        <f>IFERROR(__xludf.DUMMYFUNCTION("""COMPUTED_VALUE"""),14.576)</f>
        <v>14.576</v>
      </c>
      <c r="G224" s="26">
        <f>IFERROR(__xludf.DUMMYFUNCTION("""COMPUTED_VALUE"""),2.0)</f>
        <v>2</v>
      </c>
      <c r="H224" s="26">
        <f>IFERROR(__xludf.DUMMYFUNCTION("""COMPUTED_VALUE"""),2.3686)</f>
        <v>2.3686</v>
      </c>
    </row>
    <row r="225">
      <c r="A225" s="26" t="str">
        <f>IFERROR(__xludf.DUMMYFUNCTION("""COMPUTED_VALUE"""),"CA-2014-106726")</f>
        <v>CA-2014-106726</v>
      </c>
      <c r="B225" s="27">
        <f>IFERROR(__xludf.DUMMYFUNCTION("""COMPUTED_VALUE"""),41979.0)</f>
        <v>41979</v>
      </c>
      <c r="C225" s="26" t="str">
        <f>IFERROR(__xludf.DUMMYFUNCTION("""COMPUTED_VALUE"""),"Corporate")</f>
        <v>Corporate</v>
      </c>
      <c r="D225" s="26" t="str">
        <f>IFERROR(__xludf.DUMMYFUNCTION("""COMPUTED_VALUE"""),"California")</f>
        <v>California</v>
      </c>
      <c r="E225" s="26" t="str">
        <f>IFERROR(__xludf.DUMMYFUNCTION("""COMPUTED_VALUE"""),"West")</f>
        <v>West</v>
      </c>
      <c r="F225" s="26">
        <f>IFERROR(__xludf.DUMMYFUNCTION("""COMPUTED_VALUE"""),1261.33)</f>
        <v>1261.33</v>
      </c>
      <c r="G225" s="26">
        <f>IFERROR(__xludf.DUMMYFUNCTION("""COMPUTED_VALUE"""),7.0)</f>
        <v>7</v>
      </c>
      <c r="H225" s="26">
        <f>IFERROR(__xludf.DUMMYFUNCTION("""COMPUTED_VALUE"""),327.9458)</f>
        <v>327.9458</v>
      </c>
    </row>
    <row r="226">
      <c r="A226" s="26" t="str">
        <f>IFERROR(__xludf.DUMMYFUNCTION("""COMPUTED_VALUE"""),"CA-2014-141901")</f>
        <v>CA-2014-141901</v>
      </c>
      <c r="B226" s="27">
        <f>IFERROR(__xludf.DUMMYFUNCTION("""COMPUTED_VALUE"""),41860.0)</f>
        <v>41860</v>
      </c>
      <c r="C226" s="26" t="str">
        <f>IFERROR(__xludf.DUMMYFUNCTION("""COMPUTED_VALUE"""),"Consumer")</f>
        <v>Consumer</v>
      </c>
      <c r="D226" s="26" t="str">
        <f>IFERROR(__xludf.DUMMYFUNCTION("""COMPUTED_VALUE"""),"California")</f>
        <v>California</v>
      </c>
      <c r="E226" s="26" t="str">
        <f>IFERROR(__xludf.DUMMYFUNCTION("""COMPUTED_VALUE"""),"West")</f>
        <v>West</v>
      </c>
      <c r="F226" s="26">
        <f>IFERROR(__xludf.DUMMYFUNCTION("""COMPUTED_VALUE"""),5.98)</f>
        <v>5.98</v>
      </c>
      <c r="G226" s="26">
        <f>IFERROR(__xludf.DUMMYFUNCTION("""COMPUTED_VALUE"""),1.0)</f>
        <v>1</v>
      </c>
      <c r="H226" s="26">
        <f>IFERROR(__xludf.DUMMYFUNCTION("""COMPUTED_VALUE"""),2.691)</f>
        <v>2.691</v>
      </c>
    </row>
    <row r="227">
      <c r="A227" s="26" t="str">
        <f>IFERROR(__xludf.DUMMYFUNCTION("""COMPUTED_VALUE"""),"CA-2014-159625")</f>
        <v>CA-2014-159625</v>
      </c>
      <c r="B227" s="29">
        <f>IFERROR(__xludf.DUMMYFUNCTION("""COMPUTED_VALUE"""),41966.0)</f>
        <v>41966</v>
      </c>
      <c r="C227" s="26" t="str">
        <f>IFERROR(__xludf.DUMMYFUNCTION("""COMPUTED_VALUE"""),"Consumer")</f>
        <v>Consumer</v>
      </c>
      <c r="D227" s="26" t="str">
        <f>IFERROR(__xludf.DUMMYFUNCTION("""COMPUTED_VALUE"""),"Arizona")</f>
        <v>Arizona</v>
      </c>
      <c r="E227" s="26" t="str">
        <f>IFERROR(__xludf.DUMMYFUNCTION("""COMPUTED_VALUE"""),"West")</f>
        <v>West</v>
      </c>
      <c r="F227" s="26">
        <f>IFERROR(__xludf.DUMMYFUNCTION("""COMPUTED_VALUE"""),23.472)</f>
        <v>23.472</v>
      </c>
      <c r="G227" s="26">
        <f>IFERROR(__xludf.DUMMYFUNCTION("""COMPUTED_VALUE"""),3.0)</f>
        <v>3</v>
      </c>
      <c r="H227" s="26">
        <f>IFERROR(__xludf.DUMMYFUNCTION("""COMPUTED_VALUE"""),8.802)</f>
        <v>8.802</v>
      </c>
    </row>
    <row r="228">
      <c r="A228" s="26" t="str">
        <f>IFERROR(__xludf.DUMMYFUNCTION("""COMPUTED_VALUE"""),"CA-2014-143168")</f>
        <v>CA-2014-143168</v>
      </c>
      <c r="B228" s="29">
        <f>IFERROR(__xludf.DUMMYFUNCTION("""COMPUTED_VALUE"""),41930.0)</f>
        <v>41930</v>
      </c>
      <c r="C228" s="26" t="str">
        <f>IFERROR(__xludf.DUMMYFUNCTION("""COMPUTED_VALUE"""),"Consumer")</f>
        <v>Consumer</v>
      </c>
      <c r="D228" s="26" t="str">
        <f>IFERROR(__xludf.DUMMYFUNCTION("""COMPUTED_VALUE"""),"Washington")</f>
        <v>Washington</v>
      </c>
      <c r="E228" s="26" t="str">
        <f>IFERROR(__xludf.DUMMYFUNCTION("""COMPUTED_VALUE"""),"West")</f>
        <v>West</v>
      </c>
      <c r="F228" s="26">
        <f>IFERROR(__xludf.DUMMYFUNCTION("""COMPUTED_VALUE"""),61.96)</f>
        <v>61.96</v>
      </c>
      <c r="G228" s="26">
        <f>IFERROR(__xludf.DUMMYFUNCTION("""COMPUTED_VALUE"""),2.0)</f>
        <v>2</v>
      </c>
      <c r="H228" s="26">
        <f>IFERROR(__xludf.DUMMYFUNCTION("""COMPUTED_VALUE"""),27.882)</f>
        <v>27.882</v>
      </c>
    </row>
    <row r="229">
      <c r="A229" s="26" t="str">
        <f>IFERROR(__xludf.DUMMYFUNCTION("""COMPUTED_VALUE"""),"CA-2014-117464")</f>
        <v>CA-2014-117464</v>
      </c>
      <c r="B229" s="27">
        <f>IFERROR(__xludf.DUMMYFUNCTION("""COMPUTED_VALUE"""),41842.0)</f>
        <v>41842</v>
      </c>
      <c r="C229" s="26" t="str">
        <f>IFERROR(__xludf.DUMMYFUNCTION("""COMPUTED_VALUE"""),"Consumer")</f>
        <v>Consumer</v>
      </c>
      <c r="D229" s="26" t="str">
        <f>IFERROR(__xludf.DUMMYFUNCTION("""COMPUTED_VALUE"""),"California")</f>
        <v>California</v>
      </c>
      <c r="E229" s="26" t="str">
        <f>IFERROR(__xludf.DUMMYFUNCTION("""COMPUTED_VALUE"""),"West")</f>
        <v>West</v>
      </c>
      <c r="F229" s="26">
        <f>IFERROR(__xludf.DUMMYFUNCTION("""COMPUTED_VALUE"""),11.52)</f>
        <v>11.52</v>
      </c>
      <c r="G229" s="26">
        <f>IFERROR(__xludf.DUMMYFUNCTION("""COMPUTED_VALUE"""),4.0)</f>
        <v>4</v>
      </c>
      <c r="H229" s="26">
        <f>IFERROR(__xludf.DUMMYFUNCTION("""COMPUTED_VALUE"""),3.2256)</f>
        <v>3.2256</v>
      </c>
    </row>
    <row r="230">
      <c r="A230" s="26" t="str">
        <f>IFERROR(__xludf.DUMMYFUNCTION("""COMPUTED_VALUE"""),"CA-2014-116785")</f>
        <v>CA-2014-116785</v>
      </c>
      <c r="B230" s="27">
        <f>IFERROR(__xludf.DUMMYFUNCTION("""COMPUTED_VALUE"""),41755.0)</f>
        <v>41755</v>
      </c>
      <c r="C230" s="26" t="str">
        <f>IFERROR(__xludf.DUMMYFUNCTION("""COMPUTED_VALUE"""),"Home Office")</f>
        <v>Home Office</v>
      </c>
      <c r="D230" s="26" t="str">
        <f>IFERROR(__xludf.DUMMYFUNCTION("""COMPUTED_VALUE"""),"California")</f>
        <v>California</v>
      </c>
      <c r="E230" s="26" t="str">
        <f>IFERROR(__xludf.DUMMYFUNCTION("""COMPUTED_VALUE"""),"West")</f>
        <v>West</v>
      </c>
      <c r="F230" s="26">
        <f>IFERROR(__xludf.DUMMYFUNCTION("""COMPUTED_VALUE"""),21.4)</f>
        <v>21.4</v>
      </c>
      <c r="G230" s="26">
        <f>IFERROR(__xludf.DUMMYFUNCTION("""COMPUTED_VALUE"""),5.0)</f>
        <v>5</v>
      </c>
      <c r="H230" s="26">
        <f>IFERROR(__xludf.DUMMYFUNCTION("""COMPUTED_VALUE"""),6.206)</f>
        <v>6.206</v>
      </c>
    </row>
    <row r="231">
      <c r="A231" s="26" t="str">
        <f>IFERROR(__xludf.DUMMYFUNCTION("""COMPUTED_VALUE"""),"CA-2014-157546")</f>
        <v>CA-2014-157546</v>
      </c>
      <c r="B231" s="27">
        <f>IFERROR(__xludf.DUMMYFUNCTION("""COMPUTED_VALUE"""),41840.0)</f>
        <v>41840</v>
      </c>
      <c r="C231" s="26" t="str">
        <f>IFERROR(__xludf.DUMMYFUNCTION("""COMPUTED_VALUE"""),"Consumer")</f>
        <v>Consumer</v>
      </c>
      <c r="D231" s="26" t="str">
        <f>IFERROR(__xludf.DUMMYFUNCTION("""COMPUTED_VALUE"""),"California")</f>
        <v>California</v>
      </c>
      <c r="E231" s="26" t="str">
        <f>IFERROR(__xludf.DUMMYFUNCTION("""COMPUTED_VALUE"""),"West")</f>
        <v>West</v>
      </c>
      <c r="F231" s="26">
        <f>IFERROR(__xludf.DUMMYFUNCTION("""COMPUTED_VALUE"""),89.712)</f>
        <v>89.712</v>
      </c>
      <c r="G231" s="26">
        <f>IFERROR(__xludf.DUMMYFUNCTION("""COMPUTED_VALUE"""),6.0)</f>
        <v>6</v>
      </c>
      <c r="H231" s="26">
        <f>IFERROR(__xludf.DUMMYFUNCTION("""COMPUTED_VALUE"""),30.2778)</f>
        <v>30.2778</v>
      </c>
    </row>
    <row r="232">
      <c r="A232" s="26" t="str">
        <f>IFERROR(__xludf.DUMMYFUNCTION("""COMPUTED_VALUE"""),"CA-2014-138737")</f>
        <v>CA-2014-138737</v>
      </c>
      <c r="B232" s="27">
        <f>IFERROR(__xludf.DUMMYFUNCTION("""COMPUTED_VALUE"""),41980.0)</f>
        <v>41980</v>
      </c>
      <c r="C232" s="26" t="str">
        <f>IFERROR(__xludf.DUMMYFUNCTION("""COMPUTED_VALUE"""),"Consumer")</f>
        <v>Consumer</v>
      </c>
      <c r="D232" s="26" t="str">
        <f>IFERROR(__xludf.DUMMYFUNCTION("""COMPUTED_VALUE"""),"California")</f>
        <v>California</v>
      </c>
      <c r="E232" s="26" t="str">
        <f>IFERROR(__xludf.DUMMYFUNCTION("""COMPUTED_VALUE"""),"West")</f>
        <v>West</v>
      </c>
      <c r="F232" s="26">
        <f>IFERROR(__xludf.DUMMYFUNCTION("""COMPUTED_VALUE"""),8.64)</f>
        <v>8.64</v>
      </c>
      <c r="G232" s="26">
        <f>IFERROR(__xludf.DUMMYFUNCTION("""COMPUTED_VALUE"""),3.0)</f>
        <v>3</v>
      </c>
      <c r="H232" s="26">
        <f>IFERROR(__xludf.DUMMYFUNCTION("""COMPUTED_VALUE"""),2.4192)</f>
        <v>2.4192</v>
      </c>
    </row>
    <row r="233">
      <c r="A233" s="26" t="str">
        <f>IFERROR(__xludf.DUMMYFUNCTION("""COMPUTED_VALUE"""),"US-2014-131275")</f>
        <v>US-2014-131275</v>
      </c>
      <c r="B233" s="27">
        <f>IFERROR(__xludf.DUMMYFUNCTION("""COMPUTED_VALUE"""),41716.0)</f>
        <v>41716</v>
      </c>
      <c r="C233" s="26" t="str">
        <f>IFERROR(__xludf.DUMMYFUNCTION("""COMPUTED_VALUE"""),"Home Office")</f>
        <v>Home Office</v>
      </c>
      <c r="D233" s="26" t="str">
        <f>IFERROR(__xludf.DUMMYFUNCTION("""COMPUTED_VALUE"""),"California")</f>
        <v>California</v>
      </c>
      <c r="E233" s="26" t="str">
        <f>IFERROR(__xludf.DUMMYFUNCTION("""COMPUTED_VALUE"""),"West")</f>
        <v>West</v>
      </c>
      <c r="F233" s="26">
        <f>IFERROR(__xludf.DUMMYFUNCTION("""COMPUTED_VALUE"""),111.0)</f>
        <v>111</v>
      </c>
      <c r="G233" s="26">
        <f>IFERROR(__xludf.DUMMYFUNCTION("""COMPUTED_VALUE"""),2.0)</f>
        <v>2</v>
      </c>
      <c r="H233" s="26">
        <f>IFERROR(__xludf.DUMMYFUNCTION("""COMPUTED_VALUE"""),14.43)</f>
        <v>14.43</v>
      </c>
    </row>
    <row r="234">
      <c r="A234" s="26" t="str">
        <f>IFERROR(__xludf.DUMMYFUNCTION("""COMPUTED_VALUE"""),"CA-2014-132787")</f>
        <v>CA-2014-132787</v>
      </c>
      <c r="B234" s="27">
        <f>IFERROR(__xludf.DUMMYFUNCTION("""COMPUTED_VALUE"""),41901.0)</f>
        <v>41901</v>
      </c>
      <c r="C234" s="26" t="str">
        <f>IFERROR(__xludf.DUMMYFUNCTION("""COMPUTED_VALUE"""),"Corporate")</f>
        <v>Corporate</v>
      </c>
      <c r="D234" s="26" t="str">
        <f>IFERROR(__xludf.DUMMYFUNCTION("""COMPUTED_VALUE"""),"Washington")</f>
        <v>Washington</v>
      </c>
      <c r="E234" s="26" t="str">
        <f>IFERROR(__xludf.DUMMYFUNCTION("""COMPUTED_VALUE"""),"West")</f>
        <v>West</v>
      </c>
      <c r="F234" s="26">
        <f>IFERROR(__xludf.DUMMYFUNCTION("""COMPUTED_VALUE"""),92.52)</f>
        <v>92.52</v>
      </c>
      <c r="G234" s="26">
        <f>IFERROR(__xludf.DUMMYFUNCTION("""COMPUTED_VALUE"""),6.0)</f>
        <v>6</v>
      </c>
      <c r="H234" s="26">
        <f>IFERROR(__xludf.DUMMYFUNCTION("""COMPUTED_VALUE"""),24.9804)</f>
        <v>24.9804</v>
      </c>
    </row>
    <row r="235">
      <c r="A235" s="26" t="str">
        <f>IFERROR(__xludf.DUMMYFUNCTION("""COMPUTED_VALUE"""),"CA-2014-161249")</f>
        <v>CA-2014-161249</v>
      </c>
      <c r="B235" s="27">
        <f>IFERROR(__xludf.DUMMYFUNCTION("""COMPUTED_VALUE"""),41860.0)</f>
        <v>41860</v>
      </c>
      <c r="C235" s="26" t="str">
        <f>IFERROR(__xludf.DUMMYFUNCTION("""COMPUTED_VALUE"""),"Consumer")</f>
        <v>Consumer</v>
      </c>
      <c r="D235" s="26" t="str">
        <f>IFERROR(__xludf.DUMMYFUNCTION("""COMPUTED_VALUE"""),"Arizona")</f>
        <v>Arizona</v>
      </c>
      <c r="E235" s="26" t="str">
        <f>IFERROR(__xludf.DUMMYFUNCTION("""COMPUTED_VALUE"""),"West")</f>
        <v>West</v>
      </c>
      <c r="F235" s="26">
        <f>IFERROR(__xludf.DUMMYFUNCTION("""COMPUTED_VALUE"""),4.464)</f>
        <v>4.464</v>
      </c>
      <c r="G235" s="26">
        <f>IFERROR(__xludf.DUMMYFUNCTION("""COMPUTED_VALUE"""),3.0)</f>
        <v>3</v>
      </c>
      <c r="H235" s="26">
        <f>IFERROR(__xludf.DUMMYFUNCTION("""COMPUTED_VALUE"""),-0.9486)</f>
        <v>-0.9486</v>
      </c>
    </row>
    <row r="236">
      <c r="A236" s="26" t="str">
        <f>IFERROR(__xludf.DUMMYFUNCTION("""COMPUTED_VALUE"""),"CA-2014-165568")</f>
        <v>CA-2014-165568</v>
      </c>
      <c r="B236" s="27">
        <f>IFERROR(__xludf.DUMMYFUNCTION("""COMPUTED_VALUE"""),41685.0)</f>
        <v>41685</v>
      </c>
      <c r="C236" s="26" t="str">
        <f>IFERROR(__xludf.DUMMYFUNCTION("""COMPUTED_VALUE"""),"Corporate")</f>
        <v>Corporate</v>
      </c>
      <c r="D236" s="26" t="str">
        <f>IFERROR(__xludf.DUMMYFUNCTION("""COMPUTED_VALUE"""),"Washington")</f>
        <v>Washington</v>
      </c>
      <c r="E236" s="26" t="str">
        <f>IFERROR(__xludf.DUMMYFUNCTION("""COMPUTED_VALUE"""),"West")</f>
        <v>West</v>
      </c>
      <c r="F236" s="26">
        <f>IFERROR(__xludf.DUMMYFUNCTION("""COMPUTED_VALUE"""),21.36)</f>
        <v>21.36</v>
      </c>
      <c r="G236" s="26">
        <f>IFERROR(__xludf.DUMMYFUNCTION("""COMPUTED_VALUE"""),5.0)</f>
        <v>5</v>
      </c>
      <c r="H236" s="26">
        <f>IFERROR(__xludf.DUMMYFUNCTION("""COMPUTED_VALUE"""),7.209)</f>
        <v>7.209</v>
      </c>
    </row>
    <row r="237">
      <c r="A237" s="26" t="str">
        <f>IFERROR(__xludf.DUMMYFUNCTION("""COMPUTED_VALUE"""),"CA-2014-115889")</f>
        <v>CA-2014-115889</v>
      </c>
      <c r="B237" s="27">
        <f>IFERROR(__xludf.DUMMYFUNCTION("""COMPUTED_VALUE"""),41945.0)</f>
        <v>41945</v>
      </c>
      <c r="C237" s="26" t="str">
        <f>IFERROR(__xludf.DUMMYFUNCTION("""COMPUTED_VALUE"""),"Consumer")</f>
        <v>Consumer</v>
      </c>
      <c r="D237" s="26" t="str">
        <f>IFERROR(__xludf.DUMMYFUNCTION("""COMPUTED_VALUE"""),"California")</f>
        <v>California</v>
      </c>
      <c r="E237" s="26" t="str">
        <f>IFERROR(__xludf.DUMMYFUNCTION("""COMPUTED_VALUE"""),"West")</f>
        <v>West</v>
      </c>
      <c r="F237" s="26">
        <f>IFERROR(__xludf.DUMMYFUNCTION("""COMPUTED_VALUE"""),46.384)</f>
        <v>46.384</v>
      </c>
      <c r="G237" s="26">
        <f>IFERROR(__xludf.DUMMYFUNCTION("""COMPUTED_VALUE"""),2.0)</f>
        <v>2</v>
      </c>
      <c r="H237" s="26">
        <f>IFERROR(__xludf.DUMMYFUNCTION("""COMPUTED_VALUE"""),5.2182)</f>
        <v>5.2182</v>
      </c>
    </row>
    <row r="238">
      <c r="A238" s="26" t="str">
        <f>IFERROR(__xludf.DUMMYFUNCTION("""COMPUTED_VALUE"""),"CA-2014-125731")</f>
        <v>CA-2014-125731</v>
      </c>
      <c r="B238" s="27">
        <f>IFERROR(__xludf.DUMMYFUNCTION("""COMPUTED_VALUE"""),41892.0)</f>
        <v>41892</v>
      </c>
      <c r="C238" s="26" t="str">
        <f>IFERROR(__xludf.DUMMYFUNCTION("""COMPUTED_VALUE"""),"Consumer")</f>
        <v>Consumer</v>
      </c>
      <c r="D238" s="26" t="str">
        <f>IFERROR(__xludf.DUMMYFUNCTION("""COMPUTED_VALUE"""),"Oregon")</f>
        <v>Oregon</v>
      </c>
      <c r="E238" s="26" t="str">
        <f>IFERROR(__xludf.DUMMYFUNCTION("""COMPUTED_VALUE"""),"West")</f>
        <v>West</v>
      </c>
      <c r="F238" s="26">
        <f>IFERROR(__xludf.DUMMYFUNCTION("""COMPUTED_VALUE"""),21.728)</f>
        <v>21.728</v>
      </c>
      <c r="G238" s="26">
        <f>IFERROR(__xludf.DUMMYFUNCTION("""COMPUTED_VALUE"""),7.0)</f>
        <v>7</v>
      </c>
      <c r="H238" s="26">
        <f>IFERROR(__xludf.DUMMYFUNCTION("""COMPUTED_VALUE"""),7.6048)</f>
        <v>7.6048</v>
      </c>
    </row>
    <row r="239">
      <c r="A239" s="26" t="str">
        <f>IFERROR(__xludf.DUMMYFUNCTION("""COMPUTED_VALUE"""),"CA-2014-133830")</f>
        <v>CA-2014-133830</v>
      </c>
      <c r="B239" s="27">
        <f>IFERROR(__xludf.DUMMYFUNCTION("""COMPUTED_VALUE"""),41978.0)</f>
        <v>41978</v>
      </c>
      <c r="C239" s="26" t="str">
        <f>IFERROR(__xludf.DUMMYFUNCTION("""COMPUTED_VALUE"""),"Consumer")</f>
        <v>Consumer</v>
      </c>
      <c r="D239" s="26" t="str">
        <f>IFERROR(__xludf.DUMMYFUNCTION("""COMPUTED_VALUE"""),"California")</f>
        <v>California</v>
      </c>
      <c r="E239" s="26" t="str">
        <f>IFERROR(__xludf.DUMMYFUNCTION("""COMPUTED_VALUE"""),"West")</f>
        <v>West</v>
      </c>
      <c r="F239" s="26">
        <f>IFERROR(__xludf.DUMMYFUNCTION("""COMPUTED_VALUE"""),26.46)</f>
        <v>26.46</v>
      </c>
      <c r="G239" s="26">
        <f>IFERROR(__xludf.DUMMYFUNCTION("""COMPUTED_VALUE"""),9.0)</f>
        <v>9</v>
      </c>
      <c r="H239" s="26">
        <f>IFERROR(__xludf.DUMMYFUNCTION("""COMPUTED_VALUE"""),11.907)</f>
        <v>11.907</v>
      </c>
    </row>
    <row r="240">
      <c r="A240" s="26" t="str">
        <f>IFERROR(__xludf.DUMMYFUNCTION("""COMPUTED_VALUE"""),"CA-2014-134726")</f>
        <v>CA-2014-134726</v>
      </c>
      <c r="B240" s="27">
        <f>IFERROR(__xludf.DUMMYFUNCTION("""COMPUTED_VALUE"""),41945.0)</f>
        <v>41945</v>
      </c>
      <c r="C240" s="26" t="str">
        <f>IFERROR(__xludf.DUMMYFUNCTION("""COMPUTED_VALUE"""),"Corporate")</f>
        <v>Corporate</v>
      </c>
      <c r="D240" s="26" t="str">
        <f>IFERROR(__xludf.DUMMYFUNCTION("""COMPUTED_VALUE"""),"Washington")</f>
        <v>Washington</v>
      </c>
      <c r="E240" s="26" t="str">
        <f>IFERROR(__xludf.DUMMYFUNCTION("""COMPUTED_VALUE"""),"West")</f>
        <v>West</v>
      </c>
      <c r="F240" s="26">
        <f>IFERROR(__xludf.DUMMYFUNCTION("""COMPUTED_VALUE"""),41.94)</f>
        <v>41.94</v>
      </c>
      <c r="G240" s="26">
        <f>IFERROR(__xludf.DUMMYFUNCTION("""COMPUTED_VALUE"""),2.0)</f>
        <v>2</v>
      </c>
      <c r="H240" s="26">
        <f>IFERROR(__xludf.DUMMYFUNCTION("""COMPUTED_VALUE"""),15.0984)</f>
        <v>15.0984</v>
      </c>
    </row>
    <row r="241">
      <c r="A241" s="26" t="str">
        <f>IFERROR(__xludf.DUMMYFUNCTION("""COMPUTED_VALUE"""),"CA-2014-131947")</f>
        <v>CA-2014-131947</v>
      </c>
      <c r="B241" s="27">
        <f>IFERROR(__xludf.DUMMYFUNCTION("""COMPUTED_VALUE"""),41899.0)</f>
        <v>41899</v>
      </c>
      <c r="C241" s="26" t="str">
        <f>IFERROR(__xludf.DUMMYFUNCTION("""COMPUTED_VALUE"""),"Consumer")</f>
        <v>Consumer</v>
      </c>
      <c r="D241" s="26" t="str">
        <f>IFERROR(__xludf.DUMMYFUNCTION("""COMPUTED_VALUE"""),"Oregon")</f>
        <v>Oregon</v>
      </c>
      <c r="E241" s="26" t="str">
        <f>IFERROR(__xludf.DUMMYFUNCTION("""COMPUTED_VALUE"""),"West")</f>
        <v>West</v>
      </c>
      <c r="F241" s="26">
        <f>IFERROR(__xludf.DUMMYFUNCTION("""COMPUTED_VALUE"""),5.248)</f>
        <v>5.248</v>
      </c>
      <c r="G241" s="26">
        <f>IFERROR(__xludf.DUMMYFUNCTION("""COMPUTED_VALUE"""),2.0)</f>
        <v>2</v>
      </c>
      <c r="H241" s="26">
        <f>IFERROR(__xludf.DUMMYFUNCTION("""COMPUTED_VALUE"""),0.4592)</f>
        <v>0.4592</v>
      </c>
    </row>
    <row r="242">
      <c r="A242" s="26" t="str">
        <f>IFERROR(__xludf.DUMMYFUNCTION("""COMPUTED_VALUE"""),"CA-2014-133354")</f>
        <v>CA-2014-133354</v>
      </c>
      <c r="B242" s="27">
        <f>IFERROR(__xludf.DUMMYFUNCTION("""COMPUTED_VALUE"""),41692.0)</f>
        <v>41692</v>
      </c>
      <c r="C242" s="26" t="str">
        <f>IFERROR(__xludf.DUMMYFUNCTION("""COMPUTED_VALUE"""),"Consumer")</f>
        <v>Consumer</v>
      </c>
      <c r="D242" s="26" t="str">
        <f>IFERROR(__xludf.DUMMYFUNCTION("""COMPUTED_VALUE"""),"California")</f>
        <v>California</v>
      </c>
      <c r="E242" s="26" t="str">
        <f>IFERROR(__xludf.DUMMYFUNCTION("""COMPUTED_VALUE"""),"West")</f>
        <v>West</v>
      </c>
      <c r="F242" s="26">
        <f>IFERROR(__xludf.DUMMYFUNCTION("""COMPUTED_VALUE"""),19.44)</f>
        <v>19.44</v>
      </c>
      <c r="G242" s="26">
        <f>IFERROR(__xludf.DUMMYFUNCTION("""COMPUTED_VALUE"""),3.0)</f>
        <v>3</v>
      </c>
      <c r="H242" s="26">
        <f>IFERROR(__xludf.DUMMYFUNCTION("""COMPUTED_VALUE"""),9.3312)</f>
        <v>9.3312</v>
      </c>
    </row>
    <row r="243">
      <c r="A243" s="26" t="str">
        <f>IFERROR(__xludf.DUMMYFUNCTION("""COMPUTED_VALUE"""),"US-2014-144078")</f>
        <v>US-2014-144078</v>
      </c>
      <c r="B243" s="29">
        <f>IFERROR(__xludf.DUMMYFUNCTION("""COMPUTED_VALUE"""),41968.0)</f>
        <v>41968</v>
      </c>
      <c r="C243" s="26" t="str">
        <f>IFERROR(__xludf.DUMMYFUNCTION("""COMPUTED_VALUE"""),"Consumer")</f>
        <v>Consumer</v>
      </c>
      <c r="D243" s="26" t="str">
        <f>IFERROR(__xludf.DUMMYFUNCTION("""COMPUTED_VALUE"""),"California")</f>
        <v>California</v>
      </c>
      <c r="E243" s="26" t="str">
        <f>IFERROR(__xludf.DUMMYFUNCTION("""COMPUTED_VALUE"""),"West")</f>
        <v>West</v>
      </c>
      <c r="F243" s="26">
        <f>IFERROR(__xludf.DUMMYFUNCTION("""COMPUTED_VALUE"""),539.92)</f>
        <v>539.92</v>
      </c>
      <c r="G243" s="26">
        <f>IFERROR(__xludf.DUMMYFUNCTION("""COMPUTED_VALUE"""),5.0)</f>
        <v>5</v>
      </c>
      <c r="H243" s="26">
        <f>IFERROR(__xludf.DUMMYFUNCTION("""COMPUTED_VALUE"""),47.243)</f>
        <v>47.243</v>
      </c>
    </row>
    <row r="244">
      <c r="A244" s="26" t="str">
        <f>IFERROR(__xludf.DUMMYFUNCTION("""COMPUTED_VALUE"""),"US-2014-120740")</f>
        <v>US-2014-120740</v>
      </c>
      <c r="B244" s="27">
        <f>IFERROR(__xludf.DUMMYFUNCTION("""COMPUTED_VALUE"""),41744.0)</f>
        <v>41744</v>
      </c>
      <c r="C244" s="26" t="str">
        <f>IFERROR(__xludf.DUMMYFUNCTION("""COMPUTED_VALUE"""),"Home Office")</f>
        <v>Home Office</v>
      </c>
      <c r="D244" s="26" t="str">
        <f>IFERROR(__xludf.DUMMYFUNCTION("""COMPUTED_VALUE"""),"California")</f>
        <v>California</v>
      </c>
      <c r="E244" s="26" t="str">
        <f>IFERROR(__xludf.DUMMYFUNCTION("""COMPUTED_VALUE"""),"West")</f>
        <v>West</v>
      </c>
      <c r="F244" s="26">
        <f>IFERROR(__xludf.DUMMYFUNCTION("""COMPUTED_VALUE"""),106.96)</f>
        <v>106.96</v>
      </c>
      <c r="G244" s="26">
        <f>IFERROR(__xludf.DUMMYFUNCTION("""COMPUTED_VALUE"""),2.0)</f>
        <v>2</v>
      </c>
      <c r="H244" s="26">
        <f>IFERROR(__xludf.DUMMYFUNCTION("""COMPUTED_VALUE"""),31.0184)</f>
        <v>31.0184</v>
      </c>
    </row>
    <row r="245">
      <c r="A245" s="26" t="str">
        <f>IFERROR(__xludf.DUMMYFUNCTION("""COMPUTED_VALUE"""),"CA-2014-102330")</f>
        <v>CA-2014-102330</v>
      </c>
      <c r="B245" s="29">
        <f>IFERROR(__xludf.DUMMYFUNCTION("""COMPUTED_VALUE"""),42002.0)</f>
        <v>42002</v>
      </c>
      <c r="C245" s="26" t="str">
        <f>IFERROR(__xludf.DUMMYFUNCTION("""COMPUTED_VALUE"""),"Consumer")</f>
        <v>Consumer</v>
      </c>
      <c r="D245" s="26" t="str">
        <f>IFERROR(__xludf.DUMMYFUNCTION("""COMPUTED_VALUE"""),"California")</f>
        <v>California</v>
      </c>
      <c r="E245" s="26" t="str">
        <f>IFERROR(__xludf.DUMMYFUNCTION("""COMPUTED_VALUE"""),"West")</f>
        <v>West</v>
      </c>
      <c r="F245" s="26">
        <f>IFERROR(__xludf.DUMMYFUNCTION("""COMPUTED_VALUE"""),88.8)</f>
        <v>88.8</v>
      </c>
      <c r="G245" s="26">
        <f>IFERROR(__xludf.DUMMYFUNCTION("""COMPUTED_VALUE"""),6.0)</f>
        <v>6</v>
      </c>
      <c r="H245" s="26">
        <f>IFERROR(__xludf.DUMMYFUNCTION("""COMPUTED_VALUE"""),44.4)</f>
        <v>44.4</v>
      </c>
    </row>
    <row r="246">
      <c r="A246" s="26" t="str">
        <f>IFERROR(__xludf.DUMMYFUNCTION("""COMPUTED_VALUE"""),"CA-2014-150203")</f>
        <v>CA-2014-150203</v>
      </c>
      <c r="B246" s="27">
        <f>IFERROR(__xludf.DUMMYFUNCTION("""COMPUTED_VALUE"""),41978.0)</f>
        <v>41978</v>
      </c>
      <c r="C246" s="26" t="str">
        <f>IFERROR(__xludf.DUMMYFUNCTION("""COMPUTED_VALUE"""),"Consumer")</f>
        <v>Consumer</v>
      </c>
      <c r="D246" s="26" t="str">
        <f>IFERROR(__xludf.DUMMYFUNCTION("""COMPUTED_VALUE"""),"California")</f>
        <v>California</v>
      </c>
      <c r="E246" s="26" t="str">
        <f>IFERROR(__xludf.DUMMYFUNCTION("""COMPUTED_VALUE"""),"West")</f>
        <v>West</v>
      </c>
      <c r="F246" s="26">
        <f>IFERROR(__xludf.DUMMYFUNCTION("""COMPUTED_VALUE"""),250.26)</f>
        <v>250.26</v>
      </c>
      <c r="G246" s="26">
        <f>IFERROR(__xludf.DUMMYFUNCTION("""COMPUTED_VALUE"""),6.0)</f>
        <v>6</v>
      </c>
      <c r="H246" s="26">
        <f>IFERROR(__xludf.DUMMYFUNCTION("""COMPUTED_VALUE"""),72.5754)</f>
        <v>72.5754</v>
      </c>
    </row>
    <row r="247">
      <c r="A247" s="26" t="str">
        <f>IFERROR(__xludf.DUMMYFUNCTION("""COMPUTED_VALUE"""),"CA-2014-154781")</f>
        <v>CA-2014-154781</v>
      </c>
      <c r="B247" s="29">
        <f>IFERROR(__xludf.DUMMYFUNCTION("""COMPUTED_VALUE"""),41964.0)</f>
        <v>41964</v>
      </c>
      <c r="C247" s="26" t="str">
        <f>IFERROR(__xludf.DUMMYFUNCTION("""COMPUTED_VALUE"""),"Home Office")</f>
        <v>Home Office</v>
      </c>
      <c r="D247" s="26" t="str">
        <f>IFERROR(__xludf.DUMMYFUNCTION("""COMPUTED_VALUE"""),"California")</f>
        <v>California</v>
      </c>
      <c r="E247" s="26" t="str">
        <f>IFERROR(__xludf.DUMMYFUNCTION("""COMPUTED_VALUE"""),"West")</f>
        <v>West</v>
      </c>
      <c r="F247" s="26">
        <f>IFERROR(__xludf.DUMMYFUNCTION("""COMPUTED_VALUE"""),6.58)</f>
        <v>6.58</v>
      </c>
      <c r="G247" s="26">
        <f>IFERROR(__xludf.DUMMYFUNCTION("""COMPUTED_VALUE"""),2.0)</f>
        <v>2</v>
      </c>
      <c r="H247" s="26">
        <f>IFERROR(__xludf.DUMMYFUNCTION("""COMPUTED_VALUE"""),3.0268)</f>
        <v>3.0268</v>
      </c>
    </row>
    <row r="248">
      <c r="A248" s="26" t="str">
        <f>IFERROR(__xludf.DUMMYFUNCTION("""COMPUTED_VALUE"""),"CA-2014-166961")</f>
        <v>CA-2014-166961</v>
      </c>
      <c r="B248" s="29">
        <f>IFERROR(__xludf.DUMMYFUNCTION("""COMPUTED_VALUE"""),42000.0)</f>
        <v>42000</v>
      </c>
      <c r="C248" s="26" t="str">
        <f>IFERROR(__xludf.DUMMYFUNCTION("""COMPUTED_VALUE"""),"Home Office")</f>
        <v>Home Office</v>
      </c>
      <c r="D248" s="26" t="str">
        <f>IFERROR(__xludf.DUMMYFUNCTION("""COMPUTED_VALUE"""),"California")</f>
        <v>California</v>
      </c>
      <c r="E248" s="26" t="str">
        <f>IFERROR(__xludf.DUMMYFUNCTION("""COMPUTED_VALUE"""),"West")</f>
        <v>West</v>
      </c>
      <c r="F248" s="26">
        <f>IFERROR(__xludf.DUMMYFUNCTION("""COMPUTED_VALUE"""),10.98)</f>
        <v>10.98</v>
      </c>
      <c r="G248" s="26">
        <f>IFERROR(__xludf.DUMMYFUNCTION("""COMPUTED_VALUE"""),1.0)</f>
        <v>1</v>
      </c>
      <c r="H248" s="26">
        <f>IFERROR(__xludf.DUMMYFUNCTION("""COMPUTED_VALUE"""),2.9646)</f>
        <v>2.9646</v>
      </c>
    </row>
    <row r="249">
      <c r="A249" s="26" t="str">
        <f>IFERROR(__xludf.DUMMYFUNCTION("""COMPUTED_VALUE"""),"CA-2014-143637")</f>
        <v>CA-2014-143637</v>
      </c>
      <c r="B249" s="27">
        <f>IFERROR(__xludf.DUMMYFUNCTION("""COMPUTED_VALUE"""),41722.0)</f>
        <v>41722</v>
      </c>
      <c r="C249" s="26" t="str">
        <f>IFERROR(__xludf.DUMMYFUNCTION("""COMPUTED_VALUE"""),"Consumer")</f>
        <v>Consumer</v>
      </c>
      <c r="D249" s="26" t="str">
        <f>IFERROR(__xludf.DUMMYFUNCTION("""COMPUTED_VALUE"""),"California")</f>
        <v>California</v>
      </c>
      <c r="E249" s="26" t="str">
        <f>IFERROR(__xludf.DUMMYFUNCTION("""COMPUTED_VALUE"""),"West")</f>
        <v>West</v>
      </c>
      <c r="F249" s="26">
        <f>IFERROR(__xludf.DUMMYFUNCTION("""COMPUTED_VALUE"""),40.48)</f>
        <v>40.48</v>
      </c>
      <c r="G249" s="26">
        <f>IFERROR(__xludf.DUMMYFUNCTION("""COMPUTED_VALUE"""),2.0)</f>
        <v>2</v>
      </c>
      <c r="H249" s="26">
        <f>IFERROR(__xludf.DUMMYFUNCTION("""COMPUTED_VALUE"""),14.5728)</f>
        <v>14.5728</v>
      </c>
    </row>
    <row r="250">
      <c r="A250" s="26" t="str">
        <f>IFERROR(__xludf.DUMMYFUNCTION("""COMPUTED_VALUE"""),"CA-2014-125150")</f>
        <v>CA-2014-125150</v>
      </c>
      <c r="B250" s="27">
        <f>IFERROR(__xludf.DUMMYFUNCTION("""COMPUTED_VALUE"""),41775.0)</f>
        <v>41775</v>
      </c>
      <c r="C250" s="26" t="str">
        <f>IFERROR(__xludf.DUMMYFUNCTION("""COMPUTED_VALUE"""),"Corporate")</f>
        <v>Corporate</v>
      </c>
      <c r="D250" s="26" t="str">
        <f>IFERROR(__xludf.DUMMYFUNCTION("""COMPUTED_VALUE"""),"California")</f>
        <v>California</v>
      </c>
      <c r="E250" s="26" t="str">
        <f>IFERROR(__xludf.DUMMYFUNCTION("""COMPUTED_VALUE"""),"West")</f>
        <v>West</v>
      </c>
      <c r="F250" s="26">
        <f>IFERROR(__xludf.DUMMYFUNCTION("""COMPUTED_VALUE"""),232.88)</f>
        <v>232.88</v>
      </c>
      <c r="G250" s="26">
        <f>IFERROR(__xludf.DUMMYFUNCTION("""COMPUTED_VALUE"""),5.0)</f>
        <v>5</v>
      </c>
      <c r="H250" s="26">
        <f>IFERROR(__xludf.DUMMYFUNCTION("""COMPUTED_VALUE"""),17.466)</f>
        <v>17.466</v>
      </c>
    </row>
    <row r="251">
      <c r="A251" s="26" t="str">
        <f>IFERROR(__xludf.DUMMYFUNCTION("""COMPUTED_VALUE"""),"CA-2014-100972")</f>
        <v>CA-2014-100972</v>
      </c>
      <c r="B251" s="29">
        <f>IFERROR(__xludf.DUMMYFUNCTION("""COMPUTED_VALUE"""),41962.0)</f>
        <v>41962</v>
      </c>
      <c r="C251" s="26" t="str">
        <f>IFERROR(__xludf.DUMMYFUNCTION("""COMPUTED_VALUE"""),"Home Office")</f>
        <v>Home Office</v>
      </c>
      <c r="D251" s="26" t="str">
        <f>IFERROR(__xludf.DUMMYFUNCTION("""COMPUTED_VALUE"""),"Utah")</f>
        <v>Utah</v>
      </c>
      <c r="E251" s="26" t="str">
        <f>IFERROR(__xludf.DUMMYFUNCTION("""COMPUTED_VALUE"""),"West")</f>
        <v>West</v>
      </c>
      <c r="F251" s="26">
        <f>IFERROR(__xludf.DUMMYFUNCTION("""COMPUTED_VALUE"""),166.44)</f>
        <v>166.44</v>
      </c>
      <c r="G251" s="26">
        <f>IFERROR(__xludf.DUMMYFUNCTION("""COMPUTED_VALUE"""),3.0)</f>
        <v>3</v>
      </c>
      <c r="H251" s="26">
        <f>IFERROR(__xludf.DUMMYFUNCTION("""COMPUTED_VALUE"""),79.8912)</f>
        <v>79.8912</v>
      </c>
    </row>
    <row r="252">
      <c r="A252" s="26" t="str">
        <f>IFERROR(__xludf.DUMMYFUNCTION("""COMPUTED_VALUE"""),"US-2014-148194")</f>
        <v>US-2014-148194</v>
      </c>
      <c r="B252" s="27">
        <f>IFERROR(__xludf.DUMMYFUNCTION("""COMPUTED_VALUE"""),41763.0)</f>
        <v>41763</v>
      </c>
      <c r="C252" s="26" t="str">
        <f>IFERROR(__xludf.DUMMYFUNCTION("""COMPUTED_VALUE"""),"Corporate")</f>
        <v>Corporate</v>
      </c>
      <c r="D252" s="26" t="str">
        <f>IFERROR(__xludf.DUMMYFUNCTION("""COMPUTED_VALUE"""),"Washington")</f>
        <v>Washington</v>
      </c>
      <c r="E252" s="26" t="str">
        <f>IFERROR(__xludf.DUMMYFUNCTION("""COMPUTED_VALUE"""),"West")</f>
        <v>West</v>
      </c>
      <c r="F252" s="26">
        <f>IFERROR(__xludf.DUMMYFUNCTION("""COMPUTED_VALUE"""),12.18)</f>
        <v>12.18</v>
      </c>
      <c r="G252" s="26">
        <f>IFERROR(__xludf.DUMMYFUNCTION("""COMPUTED_VALUE"""),7.0)</f>
        <v>7</v>
      </c>
      <c r="H252" s="26">
        <f>IFERROR(__xludf.DUMMYFUNCTION("""COMPUTED_VALUE"""),3.8976)</f>
        <v>3.8976</v>
      </c>
    </row>
    <row r="253">
      <c r="A253" s="26" t="str">
        <f>IFERROR(__xludf.DUMMYFUNCTION("""COMPUTED_VALUE"""),"CA-2014-101392")</f>
        <v>CA-2014-101392</v>
      </c>
      <c r="B253" s="27">
        <f>IFERROR(__xludf.DUMMYFUNCTION("""COMPUTED_VALUE"""),41980.0)</f>
        <v>41980</v>
      </c>
      <c r="C253" s="26" t="str">
        <f>IFERROR(__xludf.DUMMYFUNCTION("""COMPUTED_VALUE"""),"Home Office")</f>
        <v>Home Office</v>
      </c>
      <c r="D253" s="26" t="str">
        <f>IFERROR(__xludf.DUMMYFUNCTION("""COMPUTED_VALUE"""),"Washington")</f>
        <v>Washington</v>
      </c>
      <c r="E253" s="26" t="str">
        <f>IFERROR(__xludf.DUMMYFUNCTION("""COMPUTED_VALUE"""),"West")</f>
        <v>West</v>
      </c>
      <c r="F253" s="26">
        <f>IFERROR(__xludf.DUMMYFUNCTION("""COMPUTED_VALUE"""),269.36)</f>
        <v>269.36</v>
      </c>
      <c r="G253" s="26">
        <f>IFERROR(__xludf.DUMMYFUNCTION("""COMPUTED_VALUE"""),7.0)</f>
        <v>7</v>
      </c>
      <c r="H253" s="26">
        <f>IFERROR(__xludf.DUMMYFUNCTION("""COMPUTED_VALUE"""),70.0336)</f>
        <v>70.0336</v>
      </c>
    </row>
    <row r="254">
      <c r="A254" s="26" t="str">
        <f>IFERROR(__xludf.DUMMYFUNCTION("""COMPUTED_VALUE"""),"CA-2014-127866")</f>
        <v>CA-2014-127866</v>
      </c>
      <c r="B254" s="27">
        <f>IFERROR(__xludf.DUMMYFUNCTION("""COMPUTED_VALUE"""),41840.0)</f>
        <v>41840</v>
      </c>
      <c r="C254" s="26" t="str">
        <f>IFERROR(__xludf.DUMMYFUNCTION("""COMPUTED_VALUE"""),"Corporate")</f>
        <v>Corporate</v>
      </c>
      <c r="D254" s="26" t="str">
        <f>IFERROR(__xludf.DUMMYFUNCTION("""COMPUTED_VALUE"""),"California")</f>
        <v>California</v>
      </c>
      <c r="E254" s="26" t="str">
        <f>IFERROR(__xludf.DUMMYFUNCTION("""COMPUTED_VALUE"""),"West")</f>
        <v>West</v>
      </c>
      <c r="F254" s="26">
        <f>IFERROR(__xludf.DUMMYFUNCTION("""COMPUTED_VALUE"""),41.94)</f>
        <v>41.94</v>
      </c>
      <c r="G254" s="26">
        <f>IFERROR(__xludf.DUMMYFUNCTION("""COMPUTED_VALUE"""),2.0)</f>
        <v>2</v>
      </c>
      <c r="H254" s="26">
        <f>IFERROR(__xludf.DUMMYFUNCTION("""COMPUTED_VALUE"""),15.0984)</f>
        <v>15.0984</v>
      </c>
    </row>
    <row r="255">
      <c r="A255" s="26" t="str">
        <f>IFERROR(__xludf.DUMMYFUNCTION("""COMPUTED_VALUE"""),"CA-2014-114125")</f>
        <v>CA-2014-114125</v>
      </c>
      <c r="B255" s="27">
        <f>IFERROR(__xludf.DUMMYFUNCTION("""COMPUTED_VALUE"""),41829.0)</f>
        <v>41829</v>
      </c>
      <c r="C255" s="26" t="str">
        <f>IFERROR(__xludf.DUMMYFUNCTION("""COMPUTED_VALUE"""),"Home Office")</f>
        <v>Home Office</v>
      </c>
      <c r="D255" s="26" t="str">
        <f>IFERROR(__xludf.DUMMYFUNCTION("""COMPUTED_VALUE"""),"California")</f>
        <v>California</v>
      </c>
      <c r="E255" s="26" t="str">
        <f>IFERROR(__xludf.DUMMYFUNCTION("""COMPUTED_VALUE"""),"West")</f>
        <v>West</v>
      </c>
      <c r="F255" s="26">
        <f>IFERROR(__xludf.DUMMYFUNCTION("""COMPUTED_VALUE"""),2.88)</f>
        <v>2.88</v>
      </c>
      <c r="G255" s="26">
        <f>IFERROR(__xludf.DUMMYFUNCTION("""COMPUTED_VALUE"""),1.0)</f>
        <v>1</v>
      </c>
      <c r="H255" s="26">
        <f>IFERROR(__xludf.DUMMYFUNCTION("""COMPUTED_VALUE"""),1.4112)</f>
        <v>1.4112</v>
      </c>
    </row>
    <row r="256">
      <c r="A256" s="26" t="str">
        <f>IFERROR(__xludf.DUMMYFUNCTION("""COMPUTED_VALUE"""),"CA-2014-158225")</f>
        <v>CA-2014-158225</v>
      </c>
      <c r="B256" s="27">
        <f>IFERROR(__xludf.DUMMYFUNCTION("""COMPUTED_VALUE"""),41904.0)</f>
        <v>41904</v>
      </c>
      <c r="C256" s="26" t="str">
        <f>IFERROR(__xludf.DUMMYFUNCTION("""COMPUTED_VALUE"""),"Consumer")</f>
        <v>Consumer</v>
      </c>
      <c r="D256" s="26" t="str">
        <f>IFERROR(__xludf.DUMMYFUNCTION("""COMPUTED_VALUE"""),"California")</f>
        <v>California</v>
      </c>
      <c r="E256" s="26" t="str">
        <f>IFERROR(__xludf.DUMMYFUNCTION("""COMPUTED_VALUE"""),"West")</f>
        <v>West</v>
      </c>
      <c r="F256" s="26">
        <f>IFERROR(__xludf.DUMMYFUNCTION("""COMPUTED_VALUE"""),169.45)</f>
        <v>169.45</v>
      </c>
      <c r="G256" s="26">
        <f>IFERROR(__xludf.DUMMYFUNCTION("""COMPUTED_VALUE"""),5.0)</f>
        <v>5</v>
      </c>
      <c r="H256" s="26">
        <f>IFERROR(__xludf.DUMMYFUNCTION("""COMPUTED_VALUE"""),42.3625)</f>
        <v>42.3625</v>
      </c>
    </row>
    <row r="257">
      <c r="A257" s="26" t="str">
        <f>IFERROR(__xludf.DUMMYFUNCTION("""COMPUTED_VALUE"""),"CA-2014-109897")</f>
        <v>CA-2014-109897</v>
      </c>
      <c r="B257" s="27">
        <f>IFERROR(__xludf.DUMMYFUNCTION("""COMPUTED_VALUE"""),41863.0)</f>
        <v>41863</v>
      </c>
      <c r="C257" s="26" t="str">
        <f>IFERROR(__xludf.DUMMYFUNCTION("""COMPUTED_VALUE"""),"Consumer")</f>
        <v>Consumer</v>
      </c>
      <c r="D257" s="26" t="str">
        <f>IFERROR(__xludf.DUMMYFUNCTION("""COMPUTED_VALUE"""),"California")</f>
        <v>California</v>
      </c>
      <c r="E257" s="26" t="str">
        <f>IFERROR(__xludf.DUMMYFUNCTION("""COMPUTED_VALUE"""),"West")</f>
        <v>West</v>
      </c>
      <c r="F257" s="26">
        <f>IFERROR(__xludf.DUMMYFUNCTION("""COMPUTED_VALUE"""),806.336)</f>
        <v>806.336</v>
      </c>
      <c r="G257" s="26">
        <f>IFERROR(__xludf.DUMMYFUNCTION("""COMPUTED_VALUE"""),8.0)</f>
        <v>8</v>
      </c>
      <c r="H257" s="26">
        <f>IFERROR(__xludf.DUMMYFUNCTION("""COMPUTED_VALUE"""),50.396)</f>
        <v>50.396</v>
      </c>
    </row>
    <row r="258">
      <c r="A258" s="26" t="str">
        <f>IFERROR(__xludf.DUMMYFUNCTION("""COMPUTED_VALUE"""),"US-2014-103338")</f>
        <v>US-2014-103338</v>
      </c>
      <c r="B258" s="27">
        <f>IFERROR(__xludf.DUMMYFUNCTION("""COMPUTED_VALUE"""),41709.0)</f>
        <v>41709</v>
      </c>
      <c r="C258" s="26" t="str">
        <f>IFERROR(__xludf.DUMMYFUNCTION("""COMPUTED_VALUE"""),"Consumer")</f>
        <v>Consumer</v>
      </c>
      <c r="D258" s="26" t="str">
        <f>IFERROR(__xludf.DUMMYFUNCTION("""COMPUTED_VALUE"""),"California")</f>
        <v>California</v>
      </c>
      <c r="E258" s="26" t="str">
        <f>IFERROR(__xludf.DUMMYFUNCTION("""COMPUTED_VALUE"""),"West")</f>
        <v>West</v>
      </c>
      <c r="F258" s="26">
        <f>IFERROR(__xludf.DUMMYFUNCTION("""COMPUTED_VALUE"""),7.98)</f>
        <v>7.98</v>
      </c>
      <c r="G258" s="26">
        <f>IFERROR(__xludf.DUMMYFUNCTION("""COMPUTED_VALUE"""),3.0)</f>
        <v>3</v>
      </c>
      <c r="H258" s="26">
        <f>IFERROR(__xludf.DUMMYFUNCTION("""COMPUTED_VALUE"""),2.0748)</f>
        <v>2.0748</v>
      </c>
    </row>
    <row r="259">
      <c r="A259" s="26" t="str">
        <f>IFERROR(__xludf.DUMMYFUNCTION("""COMPUTED_VALUE"""),"US-2014-120313")</f>
        <v>US-2014-120313</v>
      </c>
      <c r="B259" s="29">
        <f>IFERROR(__xludf.DUMMYFUNCTION("""COMPUTED_VALUE"""),41943.0)</f>
        <v>41943</v>
      </c>
      <c r="C259" s="26" t="str">
        <f>IFERROR(__xludf.DUMMYFUNCTION("""COMPUTED_VALUE"""),"Home Office")</f>
        <v>Home Office</v>
      </c>
      <c r="D259" s="26" t="str">
        <f>IFERROR(__xludf.DUMMYFUNCTION("""COMPUTED_VALUE"""),"California")</f>
        <v>California</v>
      </c>
      <c r="E259" s="26" t="str">
        <f>IFERROR(__xludf.DUMMYFUNCTION("""COMPUTED_VALUE"""),"West")</f>
        <v>West</v>
      </c>
      <c r="F259" s="26">
        <f>IFERROR(__xludf.DUMMYFUNCTION("""COMPUTED_VALUE"""),73.584)</f>
        <v>73.584</v>
      </c>
      <c r="G259" s="26">
        <f>IFERROR(__xludf.DUMMYFUNCTION("""COMPUTED_VALUE"""),2.0)</f>
        <v>2</v>
      </c>
      <c r="H259" s="26">
        <f>IFERROR(__xludf.DUMMYFUNCTION("""COMPUTED_VALUE"""),8.2782)</f>
        <v>8.2782</v>
      </c>
    </row>
    <row r="260">
      <c r="A260" s="26" t="str">
        <f>IFERROR(__xludf.DUMMYFUNCTION("""COMPUTED_VALUE"""),"CA-2014-110555")</f>
        <v>CA-2014-110555</v>
      </c>
      <c r="B260" s="27">
        <f>IFERROR(__xludf.DUMMYFUNCTION("""COMPUTED_VALUE"""),41740.0)</f>
        <v>41740</v>
      </c>
      <c r="C260" s="26" t="str">
        <f>IFERROR(__xludf.DUMMYFUNCTION("""COMPUTED_VALUE"""),"Consumer")</f>
        <v>Consumer</v>
      </c>
      <c r="D260" s="26" t="str">
        <f>IFERROR(__xludf.DUMMYFUNCTION("""COMPUTED_VALUE"""),"Montana")</f>
        <v>Montana</v>
      </c>
      <c r="E260" s="26" t="str">
        <f>IFERROR(__xludf.DUMMYFUNCTION("""COMPUTED_VALUE"""),"West")</f>
        <v>West</v>
      </c>
      <c r="F260" s="26">
        <f>IFERROR(__xludf.DUMMYFUNCTION("""COMPUTED_VALUE"""),87.08)</f>
        <v>87.08</v>
      </c>
      <c r="G260" s="26">
        <f>IFERROR(__xludf.DUMMYFUNCTION("""COMPUTED_VALUE"""),7.0)</f>
        <v>7</v>
      </c>
      <c r="H260" s="26">
        <f>IFERROR(__xludf.DUMMYFUNCTION("""COMPUTED_VALUE"""),24.3824)</f>
        <v>24.3824</v>
      </c>
    </row>
    <row r="261">
      <c r="A261" s="26" t="str">
        <f>IFERROR(__xludf.DUMMYFUNCTION("""COMPUTED_VALUE"""),"CA-2014-109918")</f>
        <v>CA-2014-109918</v>
      </c>
      <c r="B261" s="27">
        <f>IFERROR(__xludf.DUMMYFUNCTION("""COMPUTED_VALUE"""),41889.0)</f>
        <v>41889</v>
      </c>
      <c r="C261" s="26" t="str">
        <f>IFERROR(__xludf.DUMMYFUNCTION("""COMPUTED_VALUE"""),"Corporate")</f>
        <v>Corporate</v>
      </c>
      <c r="D261" s="26" t="str">
        <f>IFERROR(__xludf.DUMMYFUNCTION("""COMPUTED_VALUE"""),"California")</f>
        <v>California</v>
      </c>
      <c r="E261" s="26" t="str">
        <f>IFERROR(__xludf.DUMMYFUNCTION("""COMPUTED_VALUE"""),"West")</f>
        <v>West</v>
      </c>
      <c r="F261" s="26">
        <f>IFERROR(__xludf.DUMMYFUNCTION("""COMPUTED_VALUE"""),27.36)</f>
        <v>27.36</v>
      </c>
      <c r="G261" s="26">
        <f>IFERROR(__xludf.DUMMYFUNCTION("""COMPUTED_VALUE"""),4.0)</f>
        <v>4</v>
      </c>
      <c r="H261" s="26">
        <f>IFERROR(__xludf.DUMMYFUNCTION("""COMPUTED_VALUE"""),7.3872)</f>
        <v>7.3872</v>
      </c>
    </row>
    <row r="262">
      <c r="A262" s="26" t="str">
        <f>IFERROR(__xludf.DUMMYFUNCTION("""COMPUTED_VALUE"""),"CA-2014-108861")</f>
        <v>CA-2014-108861</v>
      </c>
      <c r="B262" s="27">
        <f>IFERROR(__xludf.DUMMYFUNCTION("""COMPUTED_VALUE"""),41787.0)</f>
        <v>41787</v>
      </c>
      <c r="C262" s="26" t="str">
        <f>IFERROR(__xludf.DUMMYFUNCTION("""COMPUTED_VALUE"""),"Consumer")</f>
        <v>Consumer</v>
      </c>
      <c r="D262" s="26" t="str">
        <f>IFERROR(__xludf.DUMMYFUNCTION("""COMPUTED_VALUE"""),"Washington")</f>
        <v>Washington</v>
      </c>
      <c r="E262" s="26" t="str">
        <f>IFERROR(__xludf.DUMMYFUNCTION("""COMPUTED_VALUE"""),"West")</f>
        <v>West</v>
      </c>
      <c r="F262" s="26">
        <f>IFERROR(__xludf.DUMMYFUNCTION("""COMPUTED_VALUE"""),136.96)</f>
        <v>136.96</v>
      </c>
      <c r="G262" s="26">
        <f>IFERROR(__xludf.DUMMYFUNCTION("""COMPUTED_VALUE"""),4.0)</f>
        <v>4</v>
      </c>
      <c r="H262" s="26">
        <f>IFERROR(__xludf.DUMMYFUNCTION("""COMPUTED_VALUE"""),51.36)</f>
        <v>51.36</v>
      </c>
    </row>
    <row r="263">
      <c r="A263" s="26" t="str">
        <f>IFERROR(__xludf.DUMMYFUNCTION("""COMPUTED_VALUE"""),"CA-2014-131387")</f>
        <v>CA-2014-131387</v>
      </c>
      <c r="B263" s="27">
        <f>IFERROR(__xludf.DUMMYFUNCTION("""COMPUTED_VALUE"""),41757.0)</f>
        <v>41757</v>
      </c>
      <c r="C263" s="26" t="str">
        <f>IFERROR(__xludf.DUMMYFUNCTION("""COMPUTED_VALUE"""),"Consumer")</f>
        <v>Consumer</v>
      </c>
      <c r="D263" s="26" t="str">
        <f>IFERROR(__xludf.DUMMYFUNCTION("""COMPUTED_VALUE"""),"California")</f>
        <v>California</v>
      </c>
      <c r="E263" s="26" t="str">
        <f>IFERROR(__xludf.DUMMYFUNCTION("""COMPUTED_VALUE"""),"West")</f>
        <v>West</v>
      </c>
      <c r="F263" s="26">
        <f>IFERROR(__xludf.DUMMYFUNCTION("""COMPUTED_VALUE"""),1679.96)</f>
        <v>1679.96</v>
      </c>
      <c r="G263" s="26">
        <f>IFERROR(__xludf.DUMMYFUNCTION("""COMPUTED_VALUE"""),5.0)</f>
        <v>5</v>
      </c>
      <c r="H263" s="26">
        <f>IFERROR(__xludf.DUMMYFUNCTION("""COMPUTED_VALUE"""),125.997)</f>
        <v>125.997</v>
      </c>
    </row>
    <row r="264">
      <c r="A264" s="26" t="str">
        <f>IFERROR(__xludf.DUMMYFUNCTION("""COMPUTED_VALUE"""),"CA-2014-100881")</f>
        <v>CA-2014-100881</v>
      </c>
      <c r="B264" s="27">
        <f>IFERROR(__xludf.DUMMYFUNCTION("""COMPUTED_VALUE"""),41726.0)</f>
        <v>41726</v>
      </c>
      <c r="C264" s="26" t="str">
        <f>IFERROR(__xludf.DUMMYFUNCTION("""COMPUTED_VALUE"""),"Home Office")</f>
        <v>Home Office</v>
      </c>
      <c r="D264" s="26" t="str">
        <f>IFERROR(__xludf.DUMMYFUNCTION("""COMPUTED_VALUE"""),"New Mexico")</f>
        <v>New Mexico</v>
      </c>
      <c r="E264" s="26" t="str">
        <f>IFERROR(__xludf.DUMMYFUNCTION("""COMPUTED_VALUE"""),"West")</f>
        <v>West</v>
      </c>
      <c r="F264" s="26">
        <f>IFERROR(__xludf.DUMMYFUNCTION("""COMPUTED_VALUE"""),302.376)</f>
        <v>302.376</v>
      </c>
      <c r="G264" s="26">
        <f>IFERROR(__xludf.DUMMYFUNCTION("""COMPUTED_VALUE"""),3.0)</f>
        <v>3</v>
      </c>
      <c r="H264" s="26">
        <f>IFERROR(__xludf.DUMMYFUNCTION("""COMPUTED_VALUE"""),22.6782)</f>
        <v>22.6782</v>
      </c>
    </row>
    <row r="265">
      <c r="A265" s="26" t="str">
        <f>IFERROR(__xludf.DUMMYFUNCTION("""COMPUTED_VALUE"""),"CA-2014-164903")</f>
        <v>CA-2014-164903</v>
      </c>
      <c r="B265" s="27">
        <f>IFERROR(__xludf.DUMMYFUNCTION("""COMPUTED_VALUE"""),41690.0)</f>
        <v>41690</v>
      </c>
      <c r="C265" s="26" t="str">
        <f>IFERROR(__xludf.DUMMYFUNCTION("""COMPUTED_VALUE"""),"Home Office")</f>
        <v>Home Office</v>
      </c>
      <c r="D265" s="26" t="str">
        <f>IFERROR(__xludf.DUMMYFUNCTION("""COMPUTED_VALUE"""),"California")</f>
        <v>California</v>
      </c>
      <c r="E265" s="26" t="str">
        <f>IFERROR(__xludf.DUMMYFUNCTION("""COMPUTED_VALUE"""),"West")</f>
        <v>West</v>
      </c>
      <c r="F265" s="26">
        <f>IFERROR(__xludf.DUMMYFUNCTION("""COMPUTED_VALUE"""),12.96)</f>
        <v>12.96</v>
      </c>
      <c r="G265" s="26">
        <f>IFERROR(__xludf.DUMMYFUNCTION("""COMPUTED_VALUE"""),2.0)</f>
        <v>2</v>
      </c>
      <c r="H265" s="26">
        <f>IFERROR(__xludf.DUMMYFUNCTION("""COMPUTED_VALUE"""),6.2208)</f>
        <v>6.2208</v>
      </c>
    </row>
    <row r="266">
      <c r="A266" s="26" t="str">
        <f>IFERROR(__xludf.DUMMYFUNCTION("""COMPUTED_VALUE"""),"US-2014-163146")</f>
        <v>US-2014-163146</v>
      </c>
      <c r="B266" s="27">
        <f>IFERROR(__xludf.DUMMYFUNCTION("""COMPUTED_VALUE"""),41775.0)</f>
        <v>41775</v>
      </c>
      <c r="C266" s="26" t="str">
        <f>IFERROR(__xludf.DUMMYFUNCTION("""COMPUTED_VALUE"""),"Consumer")</f>
        <v>Consumer</v>
      </c>
      <c r="D266" s="26" t="str">
        <f>IFERROR(__xludf.DUMMYFUNCTION("""COMPUTED_VALUE"""),"California")</f>
        <v>California</v>
      </c>
      <c r="E266" s="26" t="str">
        <f>IFERROR(__xludf.DUMMYFUNCTION("""COMPUTED_VALUE"""),"West")</f>
        <v>West</v>
      </c>
      <c r="F266" s="26">
        <f>IFERROR(__xludf.DUMMYFUNCTION("""COMPUTED_VALUE"""),56.4)</f>
        <v>56.4</v>
      </c>
      <c r="G266" s="26">
        <f>IFERROR(__xludf.DUMMYFUNCTION("""COMPUTED_VALUE"""),3.0)</f>
        <v>3</v>
      </c>
      <c r="H266" s="26">
        <f>IFERROR(__xludf.DUMMYFUNCTION("""COMPUTED_VALUE"""),3.384)</f>
        <v>3.384</v>
      </c>
    </row>
    <row r="267">
      <c r="A267" s="26" t="str">
        <f>IFERROR(__xludf.DUMMYFUNCTION("""COMPUTED_VALUE"""),"CA-2014-159849")</f>
        <v>CA-2014-159849</v>
      </c>
      <c r="B267" s="27">
        <f>IFERROR(__xludf.DUMMYFUNCTION("""COMPUTED_VALUE"""),41901.0)</f>
        <v>41901</v>
      </c>
      <c r="C267" s="26" t="str">
        <f>IFERROR(__xludf.DUMMYFUNCTION("""COMPUTED_VALUE"""),"Home Office")</f>
        <v>Home Office</v>
      </c>
      <c r="D267" s="26" t="str">
        <f>IFERROR(__xludf.DUMMYFUNCTION("""COMPUTED_VALUE"""),"California")</f>
        <v>California</v>
      </c>
      <c r="E267" s="26" t="str">
        <f>IFERROR(__xludf.DUMMYFUNCTION("""COMPUTED_VALUE"""),"West")</f>
        <v>West</v>
      </c>
      <c r="F267" s="26">
        <f>IFERROR(__xludf.DUMMYFUNCTION("""COMPUTED_VALUE"""),5.67)</f>
        <v>5.67</v>
      </c>
      <c r="G267" s="26">
        <f>IFERROR(__xludf.DUMMYFUNCTION("""COMPUTED_VALUE"""),3.0)</f>
        <v>3</v>
      </c>
      <c r="H267" s="26">
        <f>IFERROR(__xludf.DUMMYFUNCTION("""COMPUTED_VALUE"""),0.1134)</f>
        <v>0.1134</v>
      </c>
    </row>
    <row r="268">
      <c r="A268" s="26" t="str">
        <f>IFERROR(__xludf.DUMMYFUNCTION("""COMPUTED_VALUE"""),"CA-2014-104808")</f>
        <v>CA-2014-104808</v>
      </c>
      <c r="B268" s="27">
        <f>IFERROR(__xludf.DUMMYFUNCTION("""COMPUTED_VALUE"""),41674.0)</f>
        <v>41674</v>
      </c>
      <c r="C268" s="26" t="str">
        <f>IFERROR(__xludf.DUMMYFUNCTION("""COMPUTED_VALUE"""),"Corporate")</f>
        <v>Corporate</v>
      </c>
      <c r="D268" s="26" t="str">
        <f>IFERROR(__xludf.DUMMYFUNCTION("""COMPUTED_VALUE"""),"California")</f>
        <v>California</v>
      </c>
      <c r="E268" s="26" t="str">
        <f>IFERROR(__xludf.DUMMYFUNCTION("""COMPUTED_VALUE"""),"West")</f>
        <v>West</v>
      </c>
      <c r="F268" s="26">
        <f>IFERROR(__xludf.DUMMYFUNCTION("""COMPUTED_VALUE"""),17.248)</f>
        <v>17.248</v>
      </c>
      <c r="G268" s="26">
        <f>IFERROR(__xludf.DUMMYFUNCTION("""COMPUTED_VALUE"""),2.0)</f>
        <v>2</v>
      </c>
      <c r="H268" s="26">
        <f>IFERROR(__xludf.DUMMYFUNCTION("""COMPUTED_VALUE"""),6.0368)</f>
        <v>6.0368</v>
      </c>
    </row>
    <row r="269">
      <c r="A269" s="26" t="str">
        <f>IFERROR(__xludf.DUMMYFUNCTION("""COMPUTED_VALUE"""),"CA-2014-141110")</f>
        <v>CA-2014-141110</v>
      </c>
      <c r="B269" s="29">
        <f>IFERROR(__xludf.DUMMYFUNCTION("""COMPUTED_VALUE"""),41969.0)</f>
        <v>41969</v>
      </c>
      <c r="C269" s="26" t="str">
        <f>IFERROR(__xludf.DUMMYFUNCTION("""COMPUTED_VALUE"""),"Corporate")</f>
        <v>Corporate</v>
      </c>
      <c r="D269" s="26" t="str">
        <f>IFERROR(__xludf.DUMMYFUNCTION("""COMPUTED_VALUE"""),"California")</f>
        <v>California</v>
      </c>
      <c r="E269" s="26" t="str">
        <f>IFERROR(__xludf.DUMMYFUNCTION("""COMPUTED_VALUE"""),"West")</f>
        <v>West</v>
      </c>
      <c r="F269" s="26">
        <f>IFERROR(__xludf.DUMMYFUNCTION("""COMPUTED_VALUE"""),4.32)</f>
        <v>4.32</v>
      </c>
      <c r="G269" s="26">
        <f>IFERROR(__xludf.DUMMYFUNCTION("""COMPUTED_VALUE"""),3.0)</f>
        <v>3</v>
      </c>
      <c r="H269" s="26">
        <f>IFERROR(__xludf.DUMMYFUNCTION("""COMPUTED_VALUE"""),1.512)</f>
        <v>1.512</v>
      </c>
    </row>
    <row r="270">
      <c r="A270" s="26" t="str">
        <f>IFERROR(__xludf.DUMMYFUNCTION("""COMPUTED_VALUE"""),"US-2014-133949")</f>
        <v>US-2014-133949</v>
      </c>
      <c r="B270" s="29">
        <f>IFERROR(__xludf.DUMMYFUNCTION("""COMPUTED_VALUE"""),42004.0)</f>
        <v>42004</v>
      </c>
      <c r="C270" s="26" t="str">
        <f>IFERROR(__xludf.DUMMYFUNCTION("""COMPUTED_VALUE"""),"Home Office")</f>
        <v>Home Office</v>
      </c>
      <c r="D270" s="26" t="str">
        <f>IFERROR(__xludf.DUMMYFUNCTION("""COMPUTED_VALUE"""),"Nevada")</f>
        <v>Nevada</v>
      </c>
      <c r="E270" s="26" t="str">
        <f>IFERROR(__xludf.DUMMYFUNCTION("""COMPUTED_VALUE"""),"West")</f>
        <v>West</v>
      </c>
      <c r="F270" s="26">
        <f>IFERROR(__xludf.DUMMYFUNCTION("""COMPUTED_VALUE"""),475.944)</f>
        <v>475.944</v>
      </c>
      <c r="G270" s="26">
        <f>IFERROR(__xludf.DUMMYFUNCTION("""COMPUTED_VALUE"""),7.0)</f>
        <v>7</v>
      </c>
      <c r="H270" s="26">
        <f>IFERROR(__xludf.DUMMYFUNCTION("""COMPUTED_VALUE"""),59.493)</f>
        <v>59.493</v>
      </c>
    </row>
    <row r="271">
      <c r="A271" s="26" t="str">
        <f>IFERROR(__xludf.DUMMYFUNCTION("""COMPUTED_VALUE"""),"CA-2014-142769")</f>
        <v>CA-2014-142769</v>
      </c>
      <c r="B271" s="27">
        <f>IFERROR(__xludf.DUMMYFUNCTION("""COMPUTED_VALUE"""),41895.0)</f>
        <v>41895</v>
      </c>
      <c r="C271" s="26" t="str">
        <f>IFERROR(__xludf.DUMMYFUNCTION("""COMPUTED_VALUE"""),"Consumer")</f>
        <v>Consumer</v>
      </c>
      <c r="D271" s="26" t="str">
        <f>IFERROR(__xludf.DUMMYFUNCTION("""COMPUTED_VALUE"""),"Washington")</f>
        <v>Washington</v>
      </c>
      <c r="E271" s="26" t="str">
        <f>IFERROR(__xludf.DUMMYFUNCTION("""COMPUTED_VALUE"""),"West")</f>
        <v>West</v>
      </c>
      <c r="F271" s="26">
        <f>IFERROR(__xludf.DUMMYFUNCTION("""COMPUTED_VALUE"""),5.7)</f>
        <v>5.7</v>
      </c>
      <c r="G271" s="26">
        <f>IFERROR(__xludf.DUMMYFUNCTION("""COMPUTED_VALUE"""),5.0)</f>
        <v>5</v>
      </c>
      <c r="H271" s="26">
        <f>IFERROR(__xludf.DUMMYFUNCTION("""COMPUTED_VALUE"""),2.679)</f>
        <v>2.679</v>
      </c>
    </row>
    <row r="272">
      <c r="A272" s="26" t="str">
        <f>IFERROR(__xludf.DUMMYFUNCTION("""COMPUTED_VALUE"""),"US-2014-132745")</f>
        <v>US-2014-132745</v>
      </c>
      <c r="B272" s="27">
        <f>IFERROR(__xludf.DUMMYFUNCTION("""COMPUTED_VALUE"""),41913.0)</f>
        <v>41913</v>
      </c>
      <c r="C272" s="26" t="str">
        <f>IFERROR(__xludf.DUMMYFUNCTION("""COMPUTED_VALUE"""),"Home Office")</f>
        <v>Home Office</v>
      </c>
      <c r="D272" s="26" t="str">
        <f>IFERROR(__xludf.DUMMYFUNCTION("""COMPUTED_VALUE"""),"Nevada")</f>
        <v>Nevada</v>
      </c>
      <c r="E272" s="26" t="str">
        <f>IFERROR(__xludf.DUMMYFUNCTION("""COMPUTED_VALUE"""),"West")</f>
        <v>West</v>
      </c>
      <c r="F272" s="26">
        <f>IFERROR(__xludf.DUMMYFUNCTION("""COMPUTED_VALUE"""),4.71)</f>
        <v>4.71</v>
      </c>
      <c r="G272" s="26">
        <f>IFERROR(__xludf.DUMMYFUNCTION("""COMPUTED_VALUE"""),1.0)</f>
        <v>1</v>
      </c>
      <c r="H272" s="26">
        <f>IFERROR(__xludf.DUMMYFUNCTION("""COMPUTED_VALUE"""),0.0)</f>
        <v>0</v>
      </c>
    </row>
    <row r="273">
      <c r="A273" s="26" t="str">
        <f>IFERROR(__xludf.DUMMYFUNCTION("""COMPUTED_VALUE"""),"CA-2014-119144")</f>
        <v>CA-2014-119144</v>
      </c>
      <c r="B273" s="29">
        <f>IFERROR(__xludf.DUMMYFUNCTION("""COMPUTED_VALUE"""),41959.0)</f>
        <v>41959</v>
      </c>
      <c r="C273" s="26" t="str">
        <f>IFERROR(__xludf.DUMMYFUNCTION("""COMPUTED_VALUE"""),"Corporate")</f>
        <v>Corporate</v>
      </c>
      <c r="D273" s="26" t="str">
        <f>IFERROR(__xludf.DUMMYFUNCTION("""COMPUTED_VALUE"""),"California")</f>
        <v>California</v>
      </c>
      <c r="E273" s="26" t="str">
        <f>IFERROR(__xludf.DUMMYFUNCTION("""COMPUTED_VALUE"""),"West")</f>
        <v>West</v>
      </c>
      <c r="F273" s="26">
        <f>IFERROR(__xludf.DUMMYFUNCTION("""COMPUTED_VALUE"""),79.968)</f>
        <v>79.968</v>
      </c>
      <c r="G273" s="26">
        <f>IFERROR(__xludf.DUMMYFUNCTION("""COMPUTED_VALUE"""),4.0)</f>
        <v>4</v>
      </c>
      <c r="H273" s="26">
        <f>IFERROR(__xludf.DUMMYFUNCTION("""COMPUTED_VALUE"""),-17.9928)</f>
        <v>-17.9928</v>
      </c>
    </row>
    <row r="274">
      <c r="A274" s="26" t="str">
        <f>IFERROR(__xludf.DUMMYFUNCTION("""COMPUTED_VALUE"""),"CA-2014-105648")</f>
        <v>CA-2014-105648</v>
      </c>
      <c r="B274" s="27">
        <f>IFERROR(__xludf.DUMMYFUNCTION("""COMPUTED_VALUE"""),41701.0)</f>
        <v>41701</v>
      </c>
      <c r="C274" s="26" t="str">
        <f>IFERROR(__xludf.DUMMYFUNCTION("""COMPUTED_VALUE"""),"Consumer")</f>
        <v>Consumer</v>
      </c>
      <c r="D274" s="26" t="str">
        <f>IFERROR(__xludf.DUMMYFUNCTION("""COMPUTED_VALUE"""),"California")</f>
        <v>California</v>
      </c>
      <c r="E274" s="26" t="str">
        <f>IFERROR(__xludf.DUMMYFUNCTION("""COMPUTED_VALUE"""),"West")</f>
        <v>West</v>
      </c>
      <c r="F274" s="26">
        <f>IFERROR(__xludf.DUMMYFUNCTION("""COMPUTED_VALUE"""),626.352)</f>
        <v>626.352</v>
      </c>
      <c r="G274" s="26">
        <f>IFERROR(__xludf.DUMMYFUNCTION("""COMPUTED_VALUE"""),3.0)</f>
        <v>3</v>
      </c>
      <c r="H274" s="26">
        <f>IFERROR(__xludf.DUMMYFUNCTION("""COMPUTED_VALUE"""),-23.4882)</f>
        <v>-23.4882</v>
      </c>
    </row>
    <row r="275">
      <c r="A275" s="26" t="str">
        <f>IFERROR(__xludf.DUMMYFUNCTION("""COMPUTED_VALUE"""),"CA-2014-162992")</f>
        <v>CA-2014-162992</v>
      </c>
      <c r="B275" s="29">
        <f>IFERROR(__xludf.DUMMYFUNCTION("""COMPUTED_VALUE"""),41992.0)</f>
        <v>41992</v>
      </c>
      <c r="C275" s="26" t="str">
        <f>IFERROR(__xludf.DUMMYFUNCTION("""COMPUTED_VALUE"""),"Corporate")</f>
        <v>Corporate</v>
      </c>
      <c r="D275" s="26" t="str">
        <f>IFERROR(__xludf.DUMMYFUNCTION("""COMPUTED_VALUE"""),"California")</f>
        <v>California</v>
      </c>
      <c r="E275" s="26" t="str">
        <f>IFERROR(__xludf.DUMMYFUNCTION("""COMPUTED_VALUE"""),"West")</f>
        <v>West</v>
      </c>
      <c r="F275" s="26">
        <f>IFERROR(__xludf.DUMMYFUNCTION("""COMPUTED_VALUE"""),14.62)</f>
        <v>14.62</v>
      </c>
      <c r="G275" s="26">
        <f>IFERROR(__xludf.DUMMYFUNCTION("""COMPUTED_VALUE"""),2.0)</f>
        <v>2</v>
      </c>
      <c r="H275" s="26">
        <f>IFERROR(__xludf.DUMMYFUNCTION("""COMPUTED_VALUE"""),6.8714)</f>
        <v>6.8714</v>
      </c>
    </row>
    <row r="276">
      <c r="A276" s="26" t="str">
        <f>IFERROR(__xludf.DUMMYFUNCTION("""COMPUTED_VALUE"""),"CA-2014-153808")</f>
        <v>CA-2014-153808</v>
      </c>
      <c r="B276" s="27">
        <f>IFERROR(__xludf.DUMMYFUNCTION("""COMPUTED_VALUE"""),41735.0)</f>
        <v>41735</v>
      </c>
      <c r="C276" s="26" t="str">
        <f>IFERROR(__xludf.DUMMYFUNCTION("""COMPUTED_VALUE"""),"Corporate")</f>
        <v>Corporate</v>
      </c>
      <c r="D276" s="26" t="str">
        <f>IFERROR(__xludf.DUMMYFUNCTION("""COMPUTED_VALUE"""),"California")</f>
        <v>California</v>
      </c>
      <c r="E276" s="26" t="str">
        <f>IFERROR(__xludf.DUMMYFUNCTION("""COMPUTED_VALUE"""),"West")</f>
        <v>West</v>
      </c>
      <c r="F276" s="26">
        <f>IFERROR(__xludf.DUMMYFUNCTION("""COMPUTED_VALUE"""),70.95)</f>
        <v>70.95</v>
      </c>
      <c r="G276" s="26">
        <f>IFERROR(__xludf.DUMMYFUNCTION("""COMPUTED_VALUE"""),3.0)</f>
        <v>3</v>
      </c>
      <c r="H276" s="26">
        <f>IFERROR(__xludf.DUMMYFUNCTION("""COMPUTED_VALUE"""),18.447)</f>
        <v>18.447</v>
      </c>
    </row>
    <row r="277">
      <c r="A277" s="26" t="str">
        <f>IFERROR(__xludf.DUMMYFUNCTION("""COMPUTED_VALUE"""),"CA-2014-169642")</f>
        <v>CA-2014-169642</v>
      </c>
      <c r="B277" s="27">
        <f>IFERROR(__xludf.DUMMYFUNCTION("""COMPUTED_VALUE"""),41847.0)</f>
        <v>41847</v>
      </c>
      <c r="C277" s="26" t="str">
        <f>IFERROR(__xludf.DUMMYFUNCTION("""COMPUTED_VALUE"""),"Corporate")</f>
        <v>Corporate</v>
      </c>
      <c r="D277" s="26" t="str">
        <f>IFERROR(__xludf.DUMMYFUNCTION("""COMPUTED_VALUE"""),"California")</f>
        <v>California</v>
      </c>
      <c r="E277" s="26" t="str">
        <f>IFERROR(__xludf.DUMMYFUNCTION("""COMPUTED_VALUE"""),"West")</f>
        <v>West</v>
      </c>
      <c r="F277" s="26">
        <f>IFERROR(__xludf.DUMMYFUNCTION("""COMPUTED_VALUE"""),276.28)</f>
        <v>276.28</v>
      </c>
      <c r="G277" s="26">
        <f>IFERROR(__xludf.DUMMYFUNCTION("""COMPUTED_VALUE"""),2.0)</f>
        <v>2</v>
      </c>
      <c r="H277" s="26">
        <f>IFERROR(__xludf.DUMMYFUNCTION("""COMPUTED_VALUE"""),0.0)</f>
        <v>0</v>
      </c>
    </row>
    <row r="278">
      <c r="A278" s="26" t="str">
        <f>IFERROR(__xludf.DUMMYFUNCTION("""COMPUTED_VALUE"""),"CA-2014-154592")</f>
        <v>CA-2014-154592</v>
      </c>
      <c r="B278" s="27">
        <f>IFERROR(__xludf.DUMMYFUNCTION("""COMPUTED_VALUE"""),41980.0)</f>
        <v>41980</v>
      </c>
      <c r="C278" s="26" t="str">
        <f>IFERROR(__xludf.DUMMYFUNCTION("""COMPUTED_VALUE"""),"Home Office")</f>
        <v>Home Office</v>
      </c>
      <c r="D278" s="26" t="str">
        <f>IFERROR(__xludf.DUMMYFUNCTION("""COMPUTED_VALUE"""),"California")</f>
        <v>California</v>
      </c>
      <c r="E278" s="26" t="str">
        <f>IFERROR(__xludf.DUMMYFUNCTION("""COMPUTED_VALUE"""),"West")</f>
        <v>West</v>
      </c>
      <c r="F278" s="26">
        <f>IFERROR(__xludf.DUMMYFUNCTION("""COMPUTED_VALUE"""),164.88)</f>
        <v>164.88</v>
      </c>
      <c r="G278" s="26">
        <f>IFERROR(__xludf.DUMMYFUNCTION("""COMPUTED_VALUE"""),3.0)</f>
        <v>3</v>
      </c>
      <c r="H278" s="26">
        <f>IFERROR(__xludf.DUMMYFUNCTION("""COMPUTED_VALUE"""),80.7912)</f>
        <v>80.7912</v>
      </c>
    </row>
    <row r="279">
      <c r="A279" s="26" t="str">
        <f>IFERROR(__xludf.DUMMYFUNCTION("""COMPUTED_VALUE"""),"CA-2014-128622")</f>
        <v>CA-2014-128622</v>
      </c>
      <c r="B279" s="29">
        <f>IFERROR(__xludf.DUMMYFUNCTION("""COMPUTED_VALUE"""),41958.0)</f>
        <v>41958</v>
      </c>
      <c r="C279" s="26" t="str">
        <f>IFERROR(__xludf.DUMMYFUNCTION("""COMPUTED_VALUE"""),"Corporate")</f>
        <v>Corporate</v>
      </c>
      <c r="D279" s="26" t="str">
        <f>IFERROR(__xludf.DUMMYFUNCTION("""COMPUTED_VALUE"""),"California")</f>
        <v>California</v>
      </c>
      <c r="E279" s="26" t="str">
        <f>IFERROR(__xludf.DUMMYFUNCTION("""COMPUTED_VALUE"""),"West")</f>
        <v>West</v>
      </c>
      <c r="F279" s="26">
        <f>IFERROR(__xludf.DUMMYFUNCTION("""COMPUTED_VALUE"""),10.95)</f>
        <v>10.95</v>
      </c>
      <c r="G279" s="26">
        <f>IFERROR(__xludf.DUMMYFUNCTION("""COMPUTED_VALUE"""),3.0)</f>
        <v>3</v>
      </c>
      <c r="H279" s="26">
        <f>IFERROR(__xludf.DUMMYFUNCTION("""COMPUTED_VALUE"""),3.285)</f>
        <v>3.285</v>
      </c>
    </row>
    <row r="280">
      <c r="A280" s="26" t="str">
        <f>IFERROR(__xludf.DUMMYFUNCTION("""COMPUTED_VALUE"""),"CA-2014-132913")</f>
        <v>CA-2014-132913</v>
      </c>
      <c r="B280" s="29">
        <f>IFERROR(__xludf.DUMMYFUNCTION("""COMPUTED_VALUE"""),41997.0)</f>
        <v>41997</v>
      </c>
      <c r="C280" s="26" t="str">
        <f>IFERROR(__xludf.DUMMYFUNCTION("""COMPUTED_VALUE"""),"Consumer")</f>
        <v>Consumer</v>
      </c>
      <c r="D280" s="26" t="str">
        <f>IFERROR(__xludf.DUMMYFUNCTION("""COMPUTED_VALUE"""),"California")</f>
        <v>California</v>
      </c>
      <c r="E280" s="26" t="str">
        <f>IFERROR(__xludf.DUMMYFUNCTION("""COMPUTED_VALUE"""),"West")</f>
        <v>West</v>
      </c>
      <c r="F280" s="26">
        <f>IFERROR(__xludf.DUMMYFUNCTION("""COMPUTED_VALUE"""),13.97)</f>
        <v>13.97</v>
      </c>
      <c r="G280" s="26">
        <f>IFERROR(__xludf.DUMMYFUNCTION("""COMPUTED_VALUE"""),1.0)</f>
        <v>1</v>
      </c>
      <c r="H280" s="26">
        <f>IFERROR(__xludf.DUMMYFUNCTION("""COMPUTED_VALUE"""),3.6322)</f>
        <v>3.6322</v>
      </c>
    </row>
    <row r="281">
      <c r="A281" s="26" t="str">
        <f>IFERROR(__xludf.DUMMYFUNCTION("""COMPUTED_VALUE"""),"CA-2014-126480")</f>
        <v>CA-2014-126480</v>
      </c>
      <c r="B281" s="27">
        <f>IFERROR(__xludf.DUMMYFUNCTION("""COMPUTED_VALUE"""),41902.0)</f>
        <v>41902</v>
      </c>
      <c r="C281" s="26" t="str">
        <f>IFERROR(__xludf.DUMMYFUNCTION("""COMPUTED_VALUE"""),"Corporate")</f>
        <v>Corporate</v>
      </c>
      <c r="D281" s="26" t="str">
        <f>IFERROR(__xludf.DUMMYFUNCTION("""COMPUTED_VALUE"""),"California")</f>
        <v>California</v>
      </c>
      <c r="E281" s="26" t="str">
        <f>IFERROR(__xludf.DUMMYFUNCTION("""COMPUTED_VALUE"""),"West")</f>
        <v>West</v>
      </c>
      <c r="F281" s="26">
        <f>IFERROR(__xludf.DUMMYFUNCTION("""COMPUTED_VALUE"""),8.56)</f>
        <v>8.56</v>
      </c>
      <c r="G281" s="26">
        <f>IFERROR(__xludf.DUMMYFUNCTION("""COMPUTED_VALUE"""),2.0)</f>
        <v>2</v>
      </c>
      <c r="H281" s="26">
        <f>IFERROR(__xludf.DUMMYFUNCTION("""COMPUTED_VALUE"""),3.852)</f>
        <v>3.852</v>
      </c>
    </row>
    <row r="282">
      <c r="A282" s="26" t="str">
        <f>IFERROR(__xludf.DUMMYFUNCTION("""COMPUTED_VALUE"""),"CA-2014-133389")</f>
        <v>CA-2014-133389</v>
      </c>
      <c r="B282" s="27">
        <f>IFERROR(__xludf.DUMMYFUNCTION("""COMPUTED_VALUE"""),41812.0)</f>
        <v>41812</v>
      </c>
      <c r="C282" s="26" t="str">
        <f>IFERROR(__xludf.DUMMYFUNCTION("""COMPUTED_VALUE"""),"Consumer")</f>
        <v>Consumer</v>
      </c>
      <c r="D282" s="26" t="str">
        <f>IFERROR(__xludf.DUMMYFUNCTION("""COMPUTED_VALUE"""),"Arizona")</f>
        <v>Arizona</v>
      </c>
      <c r="E282" s="26" t="str">
        <f>IFERROR(__xludf.DUMMYFUNCTION("""COMPUTED_VALUE"""),"West")</f>
        <v>West</v>
      </c>
      <c r="F282" s="26">
        <f>IFERROR(__xludf.DUMMYFUNCTION("""COMPUTED_VALUE"""),8.226)</f>
        <v>8.226</v>
      </c>
      <c r="G282" s="26">
        <f>IFERROR(__xludf.DUMMYFUNCTION("""COMPUTED_VALUE"""),3.0)</f>
        <v>3</v>
      </c>
      <c r="H282" s="26">
        <f>IFERROR(__xludf.DUMMYFUNCTION("""COMPUTED_VALUE"""),-6.0324)</f>
        <v>-6.0324</v>
      </c>
    </row>
    <row r="283">
      <c r="A283" s="26" t="str">
        <f>IFERROR(__xludf.DUMMYFUNCTION("""COMPUTED_VALUE"""),"CA-2014-138177")</f>
        <v>CA-2014-138177</v>
      </c>
      <c r="B283" s="27">
        <f>IFERROR(__xludf.DUMMYFUNCTION("""COMPUTED_VALUE"""),41901.0)</f>
        <v>41901</v>
      </c>
      <c r="C283" s="26" t="str">
        <f>IFERROR(__xludf.DUMMYFUNCTION("""COMPUTED_VALUE"""),"Corporate")</f>
        <v>Corporate</v>
      </c>
      <c r="D283" s="26" t="str">
        <f>IFERROR(__xludf.DUMMYFUNCTION("""COMPUTED_VALUE"""),"Arizona")</f>
        <v>Arizona</v>
      </c>
      <c r="E283" s="26" t="str">
        <f>IFERROR(__xludf.DUMMYFUNCTION("""COMPUTED_VALUE"""),"West")</f>
        <v>West</v>
      </c>
      <c r="F283" s="26">
        <f>IFERROR(__xludf.DUMMYFUNCTION("""COMPUTED_VALUE"""),73.915)</f>
        <v>73.915</v>
      </c>
      <c r="G283" s="26">
        <f>IFERROR(__xludf.DUMMYFUNCTION("""COMPUTED_VALUE"""),1.0)</f>
        <v>1</v>
      </c>
      <c r="H283" s="26">
        <f>IFERROR(__xludf.DUMMYFUNCTION("""COMPUTED_VALUE"""),-45.8273)</f>
        <v>-45.8273</v>
      </c>
    </row>
    <row r="284">
      <c r="A284" s="26" t="str">
        <f>IFERROR(__xludf.DUMMYFUNCTION("""COMPUTED_VALUE"""),"CA-2014-141838")</f>
        <v>CA-2014-141838</v>
      </c>
      <c r="B284" s="27">
        <f>IFERROR(__xludf.DUMMYFUNCTION("""COMPUTED_VALUE"""),41724.0)</f>
        <v>41724</v>
      </c>
      <c r="C284" s="26" t="str">
        <f>IFERROR(__xludf.DUMMYFUNCTION("""COMPUTED_VALUE"""),"Corporate")</f>
        <v>Corporate</v>
      </c>
      <c r="D284" s="26" t="str">
        <f>IFERROR(__xludf.DUMMYFUNCTION("""COMPUTED_VALUE"""),"California")</f>
        <v>California</v>
      </c>
      <c r="E284" s="26" t="str">
        <f>IFERROR(__xludf.DUMMYFUNCTION("""COMPUTED_VALUE"""),"West")</f>
        <v>West</v>
      </c>
      <c r="F284" s="26">
        <f>IFERROR(__xludf.DUMMYFUNCTION("""COMPUTED_VALUE"""),3.36)</f>
        <v>3.36</v>
      </c>
      <c r="G284" s="26">
        <f>IFERROR(__xludf.DUMMYFUNCTION("""COMPUTED_VALUE"""),2.0)</f>
        <v>2</v>
      </c>
      <c r="H284" s="26">
        <f>IFERROR(__xludf.DUMMYFUNCTION("""COMPUTED_VALUE"""),0.84)</f>
        <v>0.84</v>
      </c>
    </row>
    <row r="285">
      <c r="A285" s="26" t="str">
        <f>IFERROR(__xludf.DUMMYFUNCTION("""COMPUTED_VALUE"""),"CA-2014-102645")</f>
        <v>CA-2014-102645</v>
      </c>
      <c r="B285" s="27">
        <f>IFERROR(__xludf.DUMMYFUNCTION("""COMPUTED_VALUE"""),41662.0)</f>
        <v>41662</v>
      </c>
      <c r="C285" s="26" t="str">
        <f>IFERROR(__xludf.DUMMYFUNCTION("""COMPUTED_VALUE"""),"Consumer")</f>
        <v>Consumer</v>
      </c>
      <c r="D285" s="26" t="str">
        <f>IFERROR(__xludf.DUMMYFUNCTION("""COMPUTED_VALUE"""),"Nevada")</f>
        <v>Nevada</v>
      </c>
      <c r="E285" s="26" t="str">
        <f>IFERROR(__xludf.DUMMYFUNCTION("""COMPUTED_VALUE"""),"West")</f>
        <v>West</v>
      </c>
      <c r="F285" s="26">
        <f>IFERROR(__xludf.DUMMYFUNCTION("""COMPUTED_VALUE"""),40.08)</f>
        <v>40.08</v>
      </c>
      <c r="G285" s="26">
        <f>IFERROR(__xludf.DUMMYFUNCTION("""COMPUTED_VALUE"""),6.0)</f>
        <v>6</v>
      </c>
      <c r="H285" s="26">
        <f>IFERROR(__xludf.DUMMYFUNCTION("""COMPUTED_VALUE"""),19.2384)</f>
        <v>19.2384</v>
      </c>
    </row>
    <row r="286">
      <c r="A286" s="26" t="str">
        <f>IFERROR(__xludf.DUMMYFUNCTION("""COMPUTED_VALUE"""),"CA-2014-146843")</f>
        <v>CA-2014-146843</v>
      </c>
      <c r="B286" s="29">
        <f>IFERROR(__xludf.DUMMYFUNCTION("""COMPUTED_VALUE"""),41973.0)</f>
        <v>41973</v>
      </c>
      <c r="C286" s="26" t="str">
        <f>IFERROR(__xludf.DUMMYFUNCTION("""COMPUTED_VALUE"""),"Consumer")</f>
        <v>Consumer</v>
      </c>
      <c r="D286" s="26" t="str">
        <f>IFERROR(__xludf.DUMMYFUNCTION("""COMPUTED_VALUE"""),"Arizona")</f>
        <v>Arizona</v>
      </c>
      <c r="E286" s="26" t="str">
        <f>IFERROR(__xludf.DUMMYFUNCTION("""COMPUTED_VALUE"""),"West")</f>
        <v>West</v>
      </c>
      <c r="F286" s="26">
        <f>IFERROR(__xludf.DUMMYFUNCTION("""COMPUTED_VALUE"""),47.992)</f>
        <v>47.992</v>
      </c>
      <c r="G286" s="26">
        <f>IFERROR(__xludf.DUMMYFUNCTION("""COMPUTED_VALUE"""),7.0)</f>
        <v>7</v>
      </c>
      <c r="H286" s="26">
        <f>IFERROR(__xludf.DUMMYFUNCTION("""COMPUTED_VALUE"""),3.5994)</f>
        <v>3.5994</v>
      </c>
    </row>
    <row r="287">
      <c r="A287" s="26" t="str">
        <f>IFERROR(__xludf.DUMMYFUNCTION("""COMPUTED_VALUE"""),"CA-2014-103310")</f>
        <v>CA-2014-103310</v>
      </c>
      <c r="B287" s="27">
        <f>IFERROR(__xludf.DUMMYFUNCTION("""COMPUTED_VALUE"""),41769.0)</f>
        <v>41769</v>
      </c>
      <c r="C287" s="26" t="str">
        <f>IFERROR(__xludf.DUMMYFUNCTION("""COMPUTED_VALUE"""),"Consumer")</f>
        <v>Consumer</v>
      </c>
      <c r="D287" s="26" t="str">
        <f>IFERROR(__xludf.DUMMYFUNCTION("""COMPUTED_VALUE"""),"California")</f>
        <v>California</v>
      </c>
      <c r="E287" s="26" t="str">
        <f>IFERROR(__xludf.DUMMYFUNCTION("""COMPUTED_VALUE"""),"West")</f>
        <v>West</v>
      </c>
      <c r="F287" s="26">
        <f>IFERROR(__xludf.DUMMYFUNCTION("""COMPUTED_VALUE"""),39.96)</f>
        <v>39.96</v>
      </c>
      <c r="G287" s="26">
        <f>IFERROR(__xludf.DUMMYFUNCTION("""COMPUTED_VALUE"""),2.0)</f>
        <v>2</v>
      </c>
      <c r="H287" s="26">
        <f>IFERROR(__xludf.DUMMYFUNCTION("""COMPUTED_VALUE"""),19.1808)</f>
        <v>19.1808</v>
      </c>
    </row>
    <row r="288">
      <c r="A288" s="26" t="str">
        <f>IFERROR(__xludf.DUMMYFUNCTION("""COMPUTED_VALUE"""),"CA-2014-144071")</f>
        <v>CA-2014-144071</v>
      </c>
      <c r="B288" s="27">
        <f>IFERROR(__xludf.DUMMYFUNCTION("""COMPUTED_VALUE"""),41981.0)</f>
        <v>41981</v>
      </c>
      <c r="C288" s="26" t="str">
        <f>IFERROR(__xludf.DUMMYFUNCTION("""COMPUTED_VALUE"""),"Corporate")</f>
        <v>Corporate</v>
      </c>
      <c r="D288" s="26" t="str">
        <f>IFERROR(__xludf.DUMMYFUNCTION("""COMPUTED_VALUE"""),"California")</f>
        <v>California</v>
      </c>
      <c r="E288" s="26" t="str">
        <f>IFERROR(__xludf.DUMMYFUNCTION("""COMPUTED_VALUE"""),"West")</f>
        <v>West</v>
      </c>
      <c r="F288" s="26">
        <f>IFERROR(__xludf.DUMMYFUNCTION("""COMPUTED_VALUE"""),39.88)</f>
        <v>39.88</v>
      </c>
      <c r="G288" s="26">
        <f>IFERROR(__xludf.DUMMYFUNCTION("""COMPUTED_VALUE"""),2.0)</f>
        <v>2</v>
      </c>
      <c r="H288" s="26">
        <f>IFERROR(__xludf.DUMMYFUNCTION("""COMPUTED_VALUE"""),11.1664)</f>
        <v>11.1664</v>
      </c>
    </row>
    <row r="289">
      <c r="A289" s="26" t="str">
        <f>IFERROR(__xludf.DUMMYFUNCTION("""COMPUTED_VALUE"""),"CA-2014-153619")</f>
        <v>CA-2014-153619</v>
      </c>
      <c r="B289" s="27">
        <f>IFERROR(__xludf.DUMMYFUNCTION("""COMPUTED_VALUE"""),41946.0)</f>
        <v>41946</v>
      </c>
      <c r="C289" s="26" t="str">
        <f>IFERROR(__xludf.DUMMYFUNCTION("""COMPUTED_VALUE"""),"Home Office")</f>
        <v>Home Office</v>
      </c>
      <c r="D289" s="26" t="str">
        <f>IFERROR(__xludf.DUMMYFUNCTION("""COMPUTED_VALUE"""),"California")</f>
        <v>California</v>
      </c>
      <c r="E289" s="26" t="str">
        <f>IFERROR(__xludf.DUMMYFUNCTION("""COMPUTED_VALUE"""),"West")</f>
        <v>West</v>
      </c>
      <c r="F289" s="26">
        <f>IFERROR(__xludf.DUMMYFUNCTION("""COMPUTED_VALUE"""),6.72)</f>
        <v>6.72</v>
      </c>
      <c r="G289" s="26">
        <f>IFERROR(__xludf.DUMMYFUNCTION("""COMPUTED_VALUE"""),4.0)</f>
        <v>4</v>
      </c>
      <c r="H289" s="26">
        <f>IFERROR(__xludf.DUMMYFUNCTION("""COMPUTED_VALUE"""),3.36)</f>
        <v>3.36</v>
      </c>
    </row>
    <row r="290">
      <c r="A290" s="26" t="str">
        <f>IFERROR(__xludf.DUMMYFUNCTION("""COMPUTED_VALUE"""),"CA-2014-148383")</f>
        <v>CA-2014-148383</v>
      </c>
      <c r="B290" s="29">
        <f>IFERROR(__xludf.DUMMYFUNCTION("""COMPUTED_VALUE"""),42000.0)</f>
        <v>42000</v>
      </c>
      <c r="C290" s="26" t="str">
        <f>IFERROR(__xludf.DUMMYFUNCTION("""COMPUTED_VALUE"""),"Consumer")</f>
        <v>Consumer</v>
      </c>
      <c r="D290" s="26" t="str">
        <f>IFERROR(__xludf.DUMMYFUNCTION("""COMPUTED_VALUE"""),"Arizona")</f>
        <v>Arizona</v>
      </c>
      <c r="E290" s="26" t="str">
        <f>IFERROR(__xludf.DUMMYFUNCTION("""COMPUTED_VALUE"""),"West")</f>
        <v>West</v>
      </c>
      <c r="F290" s="26">
        <f>IFERROR(__xludf.DUMMYFUNCTION("""COMPUTED_VALUE"""),946.764)</f>
        <v>946.764</v>
      </c>
      <c r="G290" s="26">
        <f>IFERROR(__xludf.DUMMYFUNCTION("""COMPUTED_VALUE"""),6.0)</f>
        <v>6</v>
      </c>
      <c r="H290" s="26">
        <f>IFERROR(__xludf.DUMMYFUNCTION("""COMPUTED_VALUE"""),-694.2936)</f>
        <v>-694.2936</v>
      </c>
    </row>
    <row r="291">
      <c r="A291" s="26" t="str">
        <f>IFERROR(__xludf.DUMMYFUNCTION("""COMPUTED_VALUE"""),"CA-2014-113271")</f>
        <v>CA-2014-113271</v>
      </c>
      <c r="B291" s="27">
        <f>IFERROR(__xludf.DUMMYFUNCTION("""COMPUTED_VALUE"""),41829.0)</f>
        <v>41829</v>
      </c>
      <c r="C291" s="26" t="str">
        <f>IFERROR(__xludf.DUMMYFUNCTION("""COMPUTED_VALUE"""),"Home Office")</f>
        <v>Home Office</v>
      </c>
      <c r="D291" s="26" t="str">
        <f>IFERROR(__xludf.DUMMYFUNCTION("""COMPUTED_VALUE"""),"California")</f>
        <v>California</v>
      </c>
      <c r="E291" s="26" t="str">
        <f>IFERROR(__xludf.DUMMYFUNCTION("""COMPUTED_VALUE"""),"West")</f>
        <v>West</v>
      </c>
      <c r="F291" s="26">
        <f>IFERROR(__xludf.DUMMYFUNCTION("""COMPUTED_VALUE"""),14.304)</f>
        <v>14.304</v>
      </c>
      <c r="G291" s="26">
        <f>IFERROR(__xludf.DUMMYFUNCTION("""COMPUTED_VALUE"""),6.0)</f>
        <v>6</v>
      </c>
      <c r="H291" s="26">
        <f>IFERROR(__xludf.DUMMYFUNCTION("""COMPUTED_VALUE"""),4.6488)</f>
        <v>4.6488</v>
      </c>
    </row>
    <row r="292">
      <c r="A292" s="26" t="str">
        <f>IFERROR(__xludf.DUMMYFUNCTION("""COMPUTED_VALUE"""),"CA-2014-125759")</f>
        <v>CA-2014-125759</v>
      </c>
      <c r="B292" s="27">
        <f>IFERROR(__xludf.DUMMYFUNCTION("""COMPUTED_VALUE"""),41678.0)</f>
        <v>41678</v>
      </c>
      <c r="C292" s="26" t="str">
        <f>IFERROR(__xludf.DUMMYFUNCTION("""COMPUTED_VALUE"""),"Home Office")</f>
        <v>Home Office</v>
      </c>
      <c r="D292" s="26" t="str">
        <f>IFERROR(__xludf.DUMMYFUNCTION("""COMPUTED_VALUE"""),"Nevada")</f>
        <v>Nevada</v>
      </c>
      <c r="E292" s="26" t="str">
        <f>IFERROR(__xludf.DUMMYFUNCTION("""COMPUTED_VALUE"""),"West")</f>
        <v>West</v>
      </c>
      <c r="F292" s="26">
        <f>IFERROR(__xludf.DUMMYFUNCTION("""COMPUTED_VALUE"""),14.56)</f>
        <v>14.56</v>
      </c>
      <c r="G292" s="26">
        <f>IFERROR(__xludf.DUMMYFUNCTION("""COMPUTED_VALUE"""),2.0)</f>
        <v>2</v>
      </c>
      <c r="H292" s="26">
        <f>IFERROR(__xludf.DUMMYFUNCTION("""COMPUTED_VALUE"""),5.5328)</f>
        <v>5.5328</v>
      </c>
    </row>
    <row r="293">
      <c r="A293" s="26" t="str">
        <f>IFERROR(__xludf.DUMMYFUNCTION("""COMPUTED_VALUE"""),"US-2014-134054")</f>
        <v>US-2014-134054</v>
      </c>
      <c r="B293" s="29">
        <f>IFERROR(__xludf.DUMMYFUNCTION("""COMPUTED_VALUE"""),41922.0)</f>
        <v>41922</v>
      </c>
      <c r="C293" s="26" t="str">
        <f>IFERROR(__xludf.DUMMYFUNCTION("""COMPUTED_VALUE"""),"Corporate")</f>
        <v>Corporate</v>
      </c>
      <c r="D293" s="26" t="str">
        <f>IFERROR(__xludf.DUMMYFUNCTION("""COMPUTED_VALUE"""),"New Mexico")</f>
        <v>New Mexico</v>
      </c>
      <c r="E293" s="26" t="str">
        <f>IFERROR(__xludf.DUMMYFUNCTION("""COMPUTED_VALUE"""),"West")</f>
        <v>West</v>
      </c>
      <c r="F293" s="26">
        <f>IFERROR(__xludf.DUMMYFUNCTION("""COMPUTED_VALUE"""),255.85)</f>
        <v>255.85</v>
      </c>
      <c r="G293" s="26">
        <f>IFERROR(__xludf.DUMMYFUNCTION("""COMPUTED_VALUE"""),7.0)</f>
        <v>7</v>
      </c>
      <c r="H293" s="26">
        <f>IFERROR(__xludf.DUMMYFUNCTION("""COMPUTED_VALUE"""),112.574)</f>
        <v>112.574</v>
      </c>
    </row>
    <row r="294">
      <c r="A294" s="26" t="str">
        <f>IFERROR(__xludf.DUMMYFUNCTION("""COMPUTED_VALUE"""),"CA-2014-111857")</f>
        <v>CA-2014-111857</v>
      </c>
      <c r="B294" s="27">
        <f>IFERROR(__xludf.DUMMYFUNCTION("""COMPUTED_VALUE"""),41752.0)</f>
        <v>41752</v>
      </c>
      <c r="C294" s="26" t="str">
        <f>IFERROR(__xludf.DUMMYFUNCTION("""COMPUTED_VALUE"""),"Home Office")</f>
        <v>Home Office</v>
      </c>
      <c r="D294" s="26" t="str">
        <f>IFERROR(__xludf.DUMMYFUNCTION("""COMPUTED_VALUE"""),"California")</f>
        <v>California</v>
      </c>
      <c r="E294" s="26" t="str">
        <f>IFERROR(__xludf.DUMMYFUNCTION("""COMPUTED_VALUE"""),"West")</f>
        <v>West</v>
      </c>
      <c r="F294" s="26">
        <f>IFERROR(__xludf.DUMMYFUNCTION("""COMPUTED_VALUE"""),48.91)</f>
        <v>48.91</v>
      </c>
      <c r="G294" s="26">
        <f>IFERROR(__xludf.DUMMYFUNCTION("""COMPUTED_VALUE"""),1.0)</f>
        <v>1</v>
      </c>
      <c r="H294" s="26">
        <f>IFERROR(__xludf.DUMMYFUNCTION("""COMPUTED_VALUE"""),22.9877)</f>
        <v>22.9877</v>
      </c>
    </row>
    <row r="295">
      <c r="A295" s="26" t="str">
        <f>IFERROR(__xludf.DUMMYFUNCTION("""COMPUTED_VALUE"""),"CA-2014-128237")</f>
        <v>CA-2014-128237</v>
      </c>
      <c r="B295" s="27">
        <f>IFERROR(__xludf.DUMMYFUNCTION("""COMPUTED_VALUE"""),41723.0)</f>
        <v>41723</v>
      </c>
      <c r="C295" s="26" t="str">
        <f>IFERROR(__xludf.DUMMYFUNCTION("""COMPUTED_VALUE"""),"Consumer")</f>
        <v>Consumer</v>
      </c>
      <c r="D295" s="26" t="str">
        <f>IFERROR(__xludf.DUMMYFUNCTION("""COMPUTED_VALUE"""),"California")</f>
        <v>California</v>
      </c>
      <c r="E295" s="26" t="str">
        <f>IFERROR(__xludf.DUMMYFUNCTION("""COMPUTED_VALUE"""),"West")</f>
        <v>West</v>
      </c>
      <c r="F295" s="26">
        <f>IFERROR(__xludf.DUMMYFUNCTION("""COMPUTED_VALUE"""),6.56)</f>
        <v>6.56</v>
      </c>
      <c r="G295" s="26">
        <f>IFERROR(__xludf.DUMMYFUNCTION("""COMPUTED_VALUE"""),2.0)</f>
        <v>2</v>
      </c>
      <c r="H295" s="26">
        <f>IFERROR(__xludf.DUMMYFUNCTION("""COMPUTED_VALUE"""),1.9024)</f>
        <v>1.9024</v>
      </c>
    </row>
    <row r="296">
      <c r="A296" s="26" t="str">
        <f>IFERROR(__xludf.DUMMYFUNCTION("""COMPUTED_VALUE"""),"CA-2014-155264")</f>
        <v>CA-2014-155264</v>
      </c>
      <c r="B296" s="29">
        <f>IFERROR(__xludf.DUMMYFUNCTION("""COMPUTED_VALUE"""),41931.0)</f>
        <v>41931</v>
      </c>
      <c r="C296" s="26" t="str">
        <f>IFERROR(__xludf.DUMMYFUNCTION("""COMPUTED_VALUE"""),"Corporate")</f>
        <v>Corporate</v>
      </c>
      <c r="D296" s="26" t="str">
        <f>IFERROR(__xludf.DUMMYFUNCTION("""COMPUTED_VALUE"""),"California")</f>
        <v>California</v>
      </c>
      <c r="E296" s="26" t="str">
        <f>IFERROR(__xludf.DUMMYFUNCTION("""COMPUTED_VALUE"""),"West")</f>
        <v>West</v>
      </c>
      <c r="F296" s="26">
        <f>IFERROR(__xludf.DUMMYFUNCTION("""COMPUTED_VALUE"""),2.992)</f>
        <v>2.992</v>
      </c>
      <c r="G296" s="26">
        <f>IFERROR(__xludf.DUMMYFUNCTION("""COMPUTED_VALUE"""),1.0)</f>
        <v>1</v>
      </c>
      <c r="H296" s="26">
        <f>IFERROR(__xludf.DUMMYFUNCTION("""COMPUTED_VALUE"""),1.122)</f>
        <v>1.122</v>
      </c>
    </row>
    <row r="297">
      <c r="A297" s="26" t="str">
        <f>IFERROR(__xludf.DUMMYFUNCTION("""COMPUTED_VALUE"""),"CA-2014-159814")</f>
        <v>CA-2014-159814</v>
      </c>
      <c r="B297" s="27">
        <f>IFERROR(__xludf.DUMMYFUNCTION("""COMPUTED_VALUE"""),41814.0)</f>
        <v>41814</v>
      </c>
      <c r="C297" s="26" t="str">
        <f>IFERROR(__xludf.DUMMYFUNCTION("""COMPUTED_VALUE"""),"Consumer")</f>
        <v>Consumer</v>
      </c>
      <c r="D297" s="26" t="str">
        <f>IFERROR(__xludf.DUMMYFUNCTION("""COMPUTED_VALUE"""),"Arizona")</f>
        <v>Arizona</v>
      </c>
      <c r="E297" s="26" t="str">
        <f>IFERROR(__xludf.DUMMYFUNCTION("""COMPUTED_VALUE"""),"West")</f>
        <v>West</v>
      </c>
      <c r="F297" s="26">
        <f>IFERROR(__xludf.DUMMYFUNCTION("""COMPUTED_VALUE"""),4.272)</f>
        <v>4.272</v>
      </c>
      <c r="G297" s="26">
        <f>IFERROR(__xludf.DUMMYFUNCTION("""COMPUTED_VALUE"""),2.0)</f>
        <v>2</v>
      </c>
      <c r="H297" s="26">
        <f>IFERROR(__xludf.DUMMYFUNCTION("""COMPUTED_VALUE"""),0.9612)</f>
        <v>0.9612</v>
      </c>
    </row>
    <row r="298">
      <c r="A298" s="26" t="str">
        <f>IFERROR(__xludf.DUMMYFUNCTION("""COMPUTED_VALUE"""),"CA-2014-145254")</f>
        <v>CA-2014-145254</v>
      </c>
      <c r="B298" s="27">
        <f>IFERROR(__xludf.DUMMYFUNCTION("""COMPUTED_VALUE"""),41843.0)</f>
        <v>41843</v>
      </c>
      <c r="C298" s="26" t="str">
        <f>IFERROR(__xludf.DUMMYFUNCTION("""COMPUTED_VALUE"""),"Corporate")</f>
        <v>Corporate</v>
      </c>
      <c r="D298" s="26" t="str">
        <f>IFERROR(__xludf.DUMMYFUNCTION("""COMPUTED_VALUE"""),"California")</f>
        <v>California</v>
      </c>
      <c r="E298" s="26" t="str">
        <f>IFERROR(__xludf.DUMMYFUNCTION("""COMPUTED_VALUE"""),"West")</f>
        <v>West</v>
      </c>
      <c r="F298" s="26">
        <f>IFERROR(__xludf.DUMMYFUNCTION("""COMPUTED_VALUE"""),604.752)</f>
        <v>604.752</v>
      </c>
      <c r="G298" s="26">
        <f>IFERROR(__xludf.DUMMYFUNCTION("""COMPUTED_VALUE"""),6.0)</f>
        <v>6</v>
      </c>
      <c r="H298" s="26">
        <f>IFERROR(__xludf.DUMMYFUNCTION("""COMPUTED_VALUE"""),60.4752)</f>
        <v>60.4752</v>
      </c>
    </row>
    <row r="299">
      <c r="A299" s="26" t="str">
        <f>IFERROR(__xludf.DUMMYFUNCTION("""COMPUTED_VALUE"""),"CA-2014-140032")</f>
        <v>CA-2014-140032</v>
      </c>
      <c r="B299" s="27">
        <f>IFERROR(__xludf.DUMMYFUNCTION("""COMPUTED_VALUE"""),41890.0)</f>
        <v>41890</v>
      </c>
      <c r="C299" s="26" t="str">
        <f>IFERROR(__xludf.DUMMYFUNCTION("""COMPUTED_VALUE"""),"Consumer")</f>
        <v>Consumer</v>
      </c>
      <c r="D299" s="26" t="str">
        <f>IFERROR(__xludf.DUMMYFUNCTION("""COMPUTED_VALUE"""),"California")</f>
        <v>California</v>
      </c>
      <c r="E299" s="26" t="str">
        <f>IFERROR(__xludf.DUMMYFUNCTION("""COMPUTED_VALUE"""),"West")</f>
        <v>West</v>
      </c>
      <c r="F299" s="26">
        <f>IFERROR(__xludf.DUMMYFUNCTION("""COMPUTED_VALUE"""),8.608)</f>
        <v>8.608</v>
      </c>
      <c r="G299" s="26">
        <f>IFERROR(__xludf.DUMMYFUNCTION("""COMPUTED_VALUE"""),2.0)</f>
        <v>2</v>
      </c>
      <c r="H299" s="26">
        <f>IFERROR(__xludf.DUMMYFUNCTION("""COMPUTED_VALUE"""),3.0128)</f>
        <v>3.0128</v>
      </c>
    </row>
    <row r="300">
      <c r="A300" s="26" t="str">
        <f>IFERROR(__xludf.DUMMYFUNCTION("""COMPUTED_VALUE"""),"CA-2014-138240")</f>
        <v>CA-2014-138240</v>
      </c>
      <c r="B300" s="27">
        <f>IFERROR(__xludf.DUMMYFUNCTION("""COMPUTED_VALUE"""),41921.0)</f>
        <v>41921</v>
      </c>
      <c r="C300" s="26" t="str">
        <f>IFERROR(__xludf.DUMMYFUNCTION("""COMPUTED_VALUE"""),"Consumer")</f>
        <v>Consumer</v>
      </c>
      <c r="D300" s="26" t="str">
        <f>IFERROR(__xludf.DUMMYFUNCTION("""COMPUTED_VALUE"""),"California")</f>
        <v>California</v>
      </c>
      <c r="E300" s="26" t="str">
        <f>IFERROR(__xludf.DUMMYFUNCTION("""COMPUTED_VALUE"""),"West")</f>
        <v>West</v>
      </c>
      <c r="F300" s="26">
        <f>IFERROR(__xludf.DUMMYFUNCTION("""COMPUTED_VALUE"""),144.6)</f>
        <v>144.6</v>
      </c>
      <c r="G300" s="26">
        <f>IFERROR(__xludf.DUMMYFUNCTION("""COMPUTED_VALUE"""),3.0)</f>
        <v>3</v>
      </c>
      <c r="H300" s="26">
        <f>IFERROR(__xludf.DUMMYFUNCTION("""COMPUTED_VALUE"""),41.934)</f>
        <v>41.934</v>
      </c>
    </row>
    <row r="301">
      <c r="A301" s="26" t="str">
        <f>IFERROR(__xludf.DUMMYFUNCTION("""COMPUTED_VALUE"""),"CA-2014-100867")</f>
        <v>CA-2014-100867</v>
      </c>
      <c r="B301" s="29">
        <f>IFERROR(__xludf.DUMMYFUNCTION("""COMPUTED_VALUE"""),41931.0)</f>
        <v>41931</v>
      </c>
      <c r="C301" s="26" t="str">
        <f>IFERROR(__xludf.DUMMYFUNCTION("""COMPUTED_VALUE"""),"Home Office")</f>
        <v>Home Office</v>
      </c>
      <c r="D301" s="26" t="str">
        <f>IFERROR(__xludf.DUMMYFUNCTION("""COMPUTED_VALUE"""),"California")</f>
        <v>California</v>
      </c>
      <c r="E301" s="26" t="str">
        <f>IFERROR(__xludf.DUMMYFUNCTION("""COMPUTED_VALUE"""),"West")</f>
        <v>West</v>
      </c>
      <c r="F301" s="26">
        <f>IFERROR(__xludf.DUMMYFUNCTION("""COMPUTED_VALUE"""),321.552)</f>
        <v>321.552</v>
      </c>
      <c r="G301" s="26">
        <f>IFERROR(__xludf.DUMMYFUNCTION("""COMPUTED_VALUE"""),6.0)</f>
        <v>6</v>
      </c>
      <c r="H301" s="26">
        <f>IFERROR(__xludf.DUMMYFUNCTION("""COMPUTED_VALUE"""),20.097)</f>
        <v>20.097</v>
      </c>
    </row>
    <row r="302">
      <c r="A302" s="26" t="str">
        <f>IFERROR(__xludf.DUMMYFUNCTION("""COMPUTED_VALUE"""),"CA-2014-122679")</f>
        <v>CA-2014-122679</v>
      </c>
      <c r="B302" s="27">
        <f>IFERROR(__xludf.DUMMYFUNCTION("""COMPUTED_VALUE"""),41842.0)</f>
        <v>41842</v>
      </c>
      <c r="C302" s="26" t="str">
        <f>IFERROR(__xludf.DUMMYFUNCTION("""COMPUTED_VALUE"""),"Home Office")</f>
        <v>Home Office</v>
      </c>
      <c r="D302" s="26" t="str">
        <f>IFERROR(__xludf.DUMMYFUNCTION("""COMPUTED_VALUE"""),"California")</f>
        <v>California</v>
      </c>
      <c r="E302" s="26" t="str">
        <f>IFERROR(__xludf.DUMMYFUNCTION("""COMPUTED_VALUE"""),"West")</f>
        <v>West</v>
      </c>
      <c r="F302" s="26">
        <f>IFERROR(__xludf.DUMMYFUNCTION("""COMPUTED_VALUE"""),19.68)</f>
        <v>19.68</v>
      </c>
      <c r="G302" s="26">
        <f>IFERROR(__xludf.DUMMYFUNCTION("""COMPUTED_VALUE"""),6.0)</f>
        <v>6</v>
      </c>
      <c r="H302" s="26">
        <f>IFERROR(__xludf.DUMMYFUNCTION("""COMPUTED_VALUE"""),6.4944)</f>
        <v>6.4944</v>
      </c>
    </row>
    <row r="303">
      <c r="A303" s="26" t="str">
        <f>IFERROR(__xludf.DUMMYFUNCTION("""COMPUTED_VALUE"""),"CA-2014-128524")</f>
        <v>CA-2014-128524</v>
      </c>
      <c r="B303" s="29">
        <f>IFERROR(__xludf.DUMMYFUNCTION("""COMPUTED_VALUE"""),41954.0)</f>
        <v>41954</v>
      </c>
      <c r="C303" s="26" t="str">
        <f>IFERROR(__xludf.DUMMYFUNCTION("""COMPUTED_VALUE"""),"Corporate")</f>
        <v>Corporate</v>
      </c>
      <c r="D303" s="26" t="str">
        <f>IFERROR(__xludf.DUMMYFUNCTION("""COMPUTED_VALUE"""),"Washington")</f>
        <v>Washington</v>
      </c>
      <c r="E303" s="26" t="str">
        <f>IFERROR(__xludf.DUMMYFUNCTION("""COMPUTED_VALUE"""),"West")</f>
        <v>West</v>
      </c>
      <c r="F303" s="26">
        <f>IFERROR(__xludf.DUMMYFUNCTION("""COMPUTED_VALUE"""),22.98)</f>
        <v>22.98</v>
      </c>
      <c r="G303" s="26">
        <f>IFERROR(__xludf.DUMMYFUNCTION("""COMPUTED_VALUE"""),1.0)</f>
        <v>1</v>
      </c>
      <c r="H303" s="26">
        <f>IFERROR(__xludf.DUMMYFUNCTION("""COMPUTED_VALUE"""),6.894)</f>
        <v>6.894</v>
      </c>
    </row>
    <row r="304">
      <c r="A304" s="26" t="str">
        <f>IFERROR(__xludf.DUMMYFUNCTION("""COMPUTED_VALUE"""),"CA-2014-124702")</f>
        <v>CA-2014-124702</v>
      </c>
      <c r="B304" s="29">
        <f>IFERROR(__xludf.DUMMYFUNCTION("""COMPUTED_VALUE"""),41961.0)</f>
        <v>41961</v>
      </c>
      <c r="C304" s="26" t="str">
        <f>IFERROR(__xludf.DUMMYFUNCTION("""COMPUTED_VALUE"""),"Corporate")</f>
        <v>Corporate</v>
      </c>
      <c r="D304" s="26" t="str">
        <f>IFERROR(__xludf.DUMMYFUNCTION("""COMPUTED_VALUE"""),"Washington")</f>
        <v>Washington</v>
      </c>
      <c r="E304" s="26" t="str">
        <f>IFERROR(__xludf.DUMMYFUNCTION("""COMPUTED_VALUE"""),"West")</f>
        <v>West</v>
      </c>
      <c r="F304" s="26">
        <f>IFERROR(__xludf.DUMMYFUNCTION("""COMPUTED_VALUE"""),137.54)</f>
        <v>137.54</v>
      </c>
      <c r="G304" s="26">
        <f>IFERROR(__xludf.DUMMYFUNCTION("""COMPUTED_VALUE"""),2.0)</f>
        <v>2</v>
      </c>
      <c r="H304" s="26">
        <f>IFERROR(__xludf.DUMMYFUNCTION("""COMPUTED_VALUE"""),55.016)</f>
        <v>55.016</v>
      </c>
    </row>
    <row r="305">
      <c r="A305" s="26" t="str">
        <f>IFERROR(__xludf.DUMMYFUNCTION("""COMPUTED_VALUE"""),"CA-2014-104563")</f>
        <v>CA-2014-104563</v>
      </c>
      <c r="B305" s="27">
        <f>IFERROR(__xludf.DUMMYFUNCTION("""COMPUTED_VALUE"""),41705.0)</f>
        <v>41705</v>
      </c>
      <c r="C305" s="26" t="str">
        <f>IFERROR(__xludf.DUMMYFUNCTION("""COMPUTED_VALUE"""),"Corporate")</f>
        <v>Corporate</v>
      </c>
      <c r="D305" s="26" t="str">
        <f>IFERROR(__xludf.DUMMYFUNCTION("""COMPUTED_VALUE"""),"Washington")</f>
        <v>Washington</v>
      </c>
      <c r="E305" s="26" t="str">
        <f>IFERROR(__xludf.DUMMYFUNCTION("""COMPUTED_VALUE"""),"West")</f>
        <v>West</v>
      </c>
      <c r="F305" s="26">
        <f>IFERROR(__xludf.DUMMYFUNCTION("""COMPUTED_VALUE"""),20.65)</f>
        <v>20.65</v>
      </c>
      <c r="G305" s="26">
        <f>IFERROR(__xludf.DUMMYFUNCTION("""COMPUTED_VALUE"""),5.0)</f>
        <v>5</v>
      </c>
      <c r="H305" s="26">
        <f>IFERROR(__xludf.DUMMYFUNCTION("""COMPUTED_VALUE"""),9.499)</f>
        <v>9.499</v>
      </c>
    </row>
    <row r="306">
      <c r="A306" s="26" t="str">
        <f>IFERROR(__xludf.DUMMYFUNCTION("""COMPUTED_VALUE"""),"CA-2014-100860")</f>
        <v>CA-2014-100860</v>
      </c>
      <c r="B306" s="27">
        <f>IFERROR(__xludf.DUMMYFUNCTION("""COMPUTED_VALUE"""),41724.0)</f>
        <v>41724</v>
      </c>
      <c r="C306" s="26" t="str">
        <f>IFERROR(__xludf.DUMMYFUNCTION("""COMPUTED_VALUE"""),"Consumer")</f>
        <v>Consumer</v>
      </c>
      <c r="D306" s="26" t="str">
        <f>IFERROR(__xludf.DUMMYFUNCTION("""COMPUTED_VALUE"""),"California")</f>
        <v>California</v>
      </c>
      <c r="E306" s="26" t="str">
        <f>IFERROR(__xludf.DUMMYFUNCTION("""COMPUTED_VALUE"""),"West")</f>
        <v>West</v>
      </c>
      <c r="F306" s="26">
        <f>IFERROR(__xludf.DUMMYFUNCTION("""COMPUTED_VALUE"""),18.75)</f>
        <v>18.75</v>
      </c>
      <c r="G306" s="26">
        <f>IFERROR(__xludf.DUMMYFUNCTION("""COMPUTED_VALUE"""),5.0)</f>
        <v>5</v>
      </c>
      <c r="H306" s="26">
        <f>IFERROR(__xludf.DUMMYFUNCTION("""COMPUTED_VALUE"""),9.0)</f>
        <v>9</v>
      </c>
    </row>
    <row r="307">
      <c r="A307" s="26" t="str">
        <f>IFERROR(__xludf.DUMMYFUNCTION("""COMPUTED_VALUE"""),"CA-2014-111962")</f>
        <v>CA-2014-111962</v>
      </c>
      <c r="B307" s="27">
        <f>IFERROR(__xludf.DUMMYFUNCTION("""COMPUTED_VALUE"""),41911.0)</f>
        <v>41911</v>
      </c>
      <c r="C307" s="26" t="str">
        <f>IFERROR(__xludf.DUMMYFUNCTION("""COMPUTED_VALUE"""),"Consumer")</f>
        <v>Consumer</v>
      </c>
      <c r="D307" s="26" t="str">
        <f>IFERROR(__xludf.DUMMYFUNCTION("""COMPUTED_VALUE"""),"Washington")</f>
        <v>Washington</v>
      </c>
      <c r="E307" s="26" t="str">
        <f>IFERROR(__xludf.DUMMYFUNCTION("""COMPUTED_VALUE"""),"West")</f>
        <v>West</v>
      </c>
      <c r="F307" s="26">
        <f>IFERROR(__xludf.DUMMYFUNCTION("""COMPUTED_VALUE"""),10.048)</f>
        <v>10.048</v>
      </c>
      <c r="G307" s="26">
        <f>IFERROR(__xludf.DUMMYFUNCTION("""COMPUTED_VALUE"""),2.0)</f>
        <v>2</v>
      </c>
      <c r="H307" s="26">
        <f>IFERROR(__xludf.DUMMYFUNCTION("""COMPUTED_VALUE"""),3.14)</f>
        <v>3.14</v>
      </c>
    </row>
    <row r="308">
      <c r="A308" s="26" t="str">
        <f>IFERROR(__xludf.DUMMYFUNCTION("""COMPUTED_VALUE"""),"CA-2014-121762")</f>
        <v>CA-2014-121762</v>
      </c>
      <c r="B308" s="27">
        <f>IFERROR(__xludf.DUMMYFUNCTION("""COMPUTED_VALUE"""),41684.0)</f>
        <v>41684</v>
      </c>
      <c r="C308" s="26" t="str">
        <f>IFERROR(__xludf.DUMMYFUNCTION("""COMPUTED_VALUE"""),"Corporate")</f>
        <v>Corporate</v>
      </c>
      <c r="D308" s="26" t="str">
        <f>IFERROR(__xludf.DUMMYFUNCTION("""COMPUTED_VALUE"""),"Washington")</f>
        <v>Washington</v>
      </c>
      <c r="E308" s="26" t="str">
        <f>IFERROR(__xludf.DUMMYFUNCTION("""COMPUTED_VALUE"""),"West")</f>
        <v>West</v>
      </c>
      <c r="F308" s="26">
        <f>IFERROR(__xludf.DUMMYFUNCTION("""COMPUTED_VALUE"""),239.97)</f>
        <v>239.97</v>
      </c>
      <c r="G308" s="26">
        <f>IFERROR(__xludf.DUMMYFUNCTION("""COMPUTED_VALUE"""),3.0)</f>
        <v>3</v>
      </c>
      <c r="H308" s="26">
        <f>IFERROR(__xludf.DUMMYFUNCTION("""COMPUTED_VALUE"""),86.3892)</f>
        <v>86.3892</v>
      </c>
    </row>
    <row r="309">
      <c r="A309" s="26" t="str">
        <f>IFERROR(__xludf.DUMMYFUNCTION("""COMPUTED_VALUE"""),"CA-2014-123855")</f>
        <v>CA-2014-123855</v>
      </c>
      <c r="B309" s="27">
        <f>IFERROR(__xludf.DUMMYFUNCTION("""COMPUTED_VALUE"""),41808.0)</f>
        <v>41808</v>
      </c>
      <c r="C309" s="26" t="str">
        <f>IFERROR(__xludf.DUMMYFUNCTION("""COMPUTED_VALUE"""),"Consumer")</f>
        <v>Consumer</v>
      </c>
      <c r="D309" s="26" t="str">
        <f>IFERROR(__xludf.DUMMYFUNCTION("""COMPUTED_VALUE"""),"California")</f>
        <v>California</v>
      </c>
      <c r="E309" s="26" t="str">
        <f>IFERROR(__xludf.DUMMYFUNCTION("""COMPUTED_VALUE"""),"West")</f>
        <v>West</v>
      </c>
      <c r="F309" s="26">
        <f>IFERROR(__xludf.DUMMYFUNCTION("""COMPUTED_VALUE"""),139.8)</f>
        <v>139.8</v>
      </c>
      <c r="G309" s="26">
        <f>IFERROR(__xludf.DUMMYFUNCTION("""COMPUTED_VALUE"""),5.0)</f>
        <v>5</v>
      </c>
      <c r="H309" s="26">
        <f>IFERROR(__xludf.DUMMYFUNCTION("""COMPUTED_VALUE"""),12.2325)</f>
        <v>12.2325</v>
      </c>
    </row>
    <row r="310">
      <c r="A310" s="26" t="str">
        <f>IFERROR(__xludf.DUMMYFUNCTION("""COMPUTED_VALUE"""),"US-2014-139640")</f>
        <v>US-2014-139640</v>
      </c>
      <c r="B310" s="27">
        <f>IFERROR(__xludf.DUMMYFUNCTION("""COMPUTED_VALUE"""),41950.0)</f>
        <v>41950</v>
      </c>
      <c r="C310" s="26" t="str">
        <f>IFERROR(__xludf.DUMMYFUNCTION("""COMPUTED_VALUE"""),"Consumer")</f>
        <v>Consumer</v>
      </c>
      <c r="D310" s="26" t="str">
        <f>IFERROR(__xludf.DUMMYFUNCTION("""COMPUTED_VALUE"""),"Oregon")</f>
        <v>Oregon</v>
      </c>
      <c r="E310" s="26" t="str">
        <f>IFERROR(__xludf.DUMMYFUNCTION("""COMPUTED_VALUE"""),"West")</f>
        <v>West</v>
      </c>
      <c r="F310" s="26">
        <f>IFERROR(__xludf.DUMMYFUNCTION("""COMPUTED_VALUE"""),25.92)</f>
        <v>25.92</v>
      </c>
      <c r="G310" s="26">
        <f>IFERROR(__xludf.DUMMYFUNCTION("""COMPUTED_VALUE"""),5.0)</f>
        <v>5</v>
      </c>
      <c r="H310" s="26">
        <f>IFERROR(__xludf.DUMMYFUNCTION("""COMPUTED_VALUE"""),9.072)</f>
        <v>9.072</v>
      </c>
    </row>
    <row r="311">
      <c r="A311" s="26" t="str">
        <f>IFERROR(__xludf.DUMMYFUNCTION("""COMPUTED_VALUE"""),"US-2014-164406")</f>
        <v>US-2014-164406</v>
      </c>
      <c r="B311" s="27">
        <f>IFERROR(__xludf.DUMMYFUNCTION("""COMPUTED_VALUE"""),41866.0)</f>
        <v>41866</v>
      </c>
      <c r="C311" s="26" t="str">
        <f>IFERROR(__xludf.DUMMYFUNCTION("""COMPUTED_VALUE"""),"Consumer")</f>
        <v>Consumer</v>
      </c>
      <c r="D311" s="26" t="str">
        <f>IFERROR(__xludf.DUMMYFUNCTION("""COMPUTED_VALUE"""),"California")</f>
        <v>California</v>
      </c>
      <c r="E311" s="26" t="str">
        <f>IFERROR(__xludf.DUMMYFUNCTION("""COMPUTED_VALUE"""),"West")</f>
        <v>West</v>
      </c>
      <c r="F311" s="26">
        <f>IFERROR(__xludf.DUMMYFUNCTION("""COMPUTED_VALUE"""),152.91)</f>
        <v>152.91</v>
      </c>
      <c r="G311" s="26">
        <f>IFERROR(__xludf.DUMMYFUNCTION("""COMPUTED_VALUE"""),3.0)</f>
        <v>3</v>
      </c>
      <c r="H311" s="26">
        <f>IFERROR(__xludf.DUMMYFUNCTION("""COMPUTED_VALUE"""),42.8148)</f>
        <v>42.8148</v>
      </c>
    </row>
    <row r="312">
      <c r="A312" s="26" t="str">
        <f>IFERROR(__xludf.DUMMYFUNCTION("""COMPUTED_VALUE"""),"CA-2014-142979")</f>
        <v>CA-2014-142979</v>
      </c>
      <c r="B312" s="27">
        <f>IFERROR(__xludf.DUMMYFUNCTION("""COMPUTED_VALUE"""),41741.0)</f>
        <v>41741</v>
      </c>
      <c r="C312" s="26" t="str">
        <f>IFERROR(__xludf.DUMMYFUNCTION("""COMPUTED_VALUE"""),"Corporate")</f>
        <v>Corporate</v>
      </c>
      <c r="D312" s="26" t="str">
        <f>IFERROR(__xludf.DUMMYFUNCTION("""COMPUTED_VALUE"""),"California")</f>
        <v>California</v>
      </c>
      <c r="E312" s="26" t="str">
        <f>IFERROR(__xludf.DUMMYFUNCTION("""COMPUTED_VALUE"""),"West")</f>
        <v>West</v>
      </c>
      <c r="F312" s="26">
        <f>IFERROR(__xludf.DUMMYFUNCTION("""COMPUTED_VALUE"""),39.68)</f>
        <v>39.68</v>
      </c>
      <c r="G312" s="26">
        <f>IFERROR(__xludf.DUMMYFUNCTION("""COMPUTED_VALUE"""),2.0)</f>
        <v>2</v>
      </c>
      <c r="H312" s="26">
        <f>IFERROR(__xludf.DUMMYFUNCTION("""COMPUTED_VALUE"""),16.2688)</f>
        <v>16.2688</v>
      </c>
    </row>
    <row r="313">
      <c r="A313" s="26" t="str">
        <f>IFERROR(__xludf.DUMMYFUNCTION("""COMPUTED_VALUE"""),"CA-2014-112291")</f>
        <v>CA-2014-112291</v>
      </c>
      <c r="B313" s="27">
        <f>IFERROR(__xludf.DUMMYFUNCTION("""COMPUTED_VALUE"""),41732.0)</f>
        <v>41732</v>
      </c>
      <c r="C313" s="26" t="str">
        <f>IFERROR(__xludf.DUMMYFUNCTION("""COMPUTED_VALUE"""),"Corporate")</f>
        <v>Corporate</v>
      </c>
      <c r="D313" s="26" t="str">
        <f>IFERROR(__xludf.DUMMYFUNCTION("""COMPUTED_VALUE"""),"California")</f>
        <v>California</v>
      </c>
      <c r="E313" s="26" t="str">
        <f>IFERROR(__xludf.DUMMYFUNCTION("""COMPUTED_VALUE"""),"West")</f>
        <v>West</v>
      </c>
      <c r="F313" s="26">
        <f>IFERROR(__xludf.DUMMYFUNCTION("""COMPUTED_VALUE"""),11.16)</f>
        <v>11.16</v>
      </c>
      <c r="G313" s="26">
        <f>IFERROR(__xludf.DUMMYFUNCTION("""COMPUTED_VALUE"""),2.0)</f>
        <v>2</v>
      </c>
      <c r="H313" s="26">
        <f>IFERROR(__xludf.DUMMYFUNCTION("""COMPUTED_VALUE"""),5.58)</f>
        <v>5.58</v>
      </c>
    </row>
    <row r="314">
      <c r="A314" s="26" t="str">
        <f>IFERROR(__xludf.DUMMYFUNCTION("""COMPUTED_VALUE"""),"CA-2014-143371")</f>
        <v>CA-2014-143371</v>
      </c>
      <c r="B314" s="29">
        <f>IFERROR(__xludf.DUMMYFUNCTION("""COMPUTED_VALUE"""),42001.0)</f>
        <v>42001</v>
      </c>
      <c r="C314" s="26" t="str">
        <f>IFERROR(__xludf.DUMMYFUNCTION("""COMPUTED_VALUE"""),"Consumer")</f>
        <v>Consumer</v>
      </c>
      <c r="D314" s="26" t="str">
        <f>IFERROR(__xludf.DUMMYFUNCTION("""COMPUTED_VALUE"""),"California")</f>
        <v>California</v>
      </c>
      <c r="E314" s="26" t="str">
        <f>IFERROR(__xludf.DUMMYFUNCTION("""COMPUTED_VALUE"""),"West")</f>
        <v>West</v>
      </c>
      <c r="F314" s="26">
        <f>IFERROR(__xludf.DUMMYFUNCTION("""COMPUTED_VALUE"""),998.82)</f>
        <v>998.82</v>
      </c>
      <c r="G314" s="26">
        <f>IFERROR(__xludf.DUMMYFUNCTION("""COMPUTED_VALUE"""),9.0)</f>
        <v>9</v>
      </c>
      <c r="H314" s="26">
        <f>IFERROR(__xludf.DUMMYFUNCTION("""COMPUTED_VALUE"""),29.9646)</f>
        <v>29.9646</v>
      </c>
    </row>
    <row r="315">
      <c r="A315" s="26" t="str">
        <f>IFERROR(__xludf.DUMMYFUNCTION("""COMPUTED_VALUE"""),"CA-2015-106320")</f>
        <v>CA-2015-106320</v>
      </c>
      <c r="B315" s="27">
        <f>IFERROR(__xludf.DUMMYFUNCTION("""COMPUTED_VALUE"""),42272.0)</f>
        <v>42272</v>
      </c>
      <c r="C315" s="26" t="str">
        <f>IFERROR(__xludf.DUMMYFUNCTION("""COMPUTED_VALUE"""),"Emily Burns")</f>
        <v>Emily Burns</v>
      </c>
      <c r="D315" s="26" t="str">
        <f>IFERROR(__xludf.DUMMYFUNCTION("""COMPUTED_VALUE"""),"Consumer")</f>
        <v>Consumer</v>
      </c>
      <c r="E315" s="26" t="str">
        <f>IFERROR(__xludf.DUMMYFUNCTION("""COMPUTED_VALUE"""),"West")</f>
        <v>West</v>
      </c>
      <c r="F315" s="26">
        <f>IFERROR(__xludf.DUMMYFUNCTION("""COMPUTED_VALUE"""),1044.63)</f>
        <v>1044.63</v>
      </c>
      <c r="G315" s="26">
        <f>IFERROR(__xludf.DUMMYFUNCTION("""COMPUTED_VALUE"""),3.0)</f>
        <v>3</v>
      </c>
      <c r="H315" s="26">
        <f>IFERROR(__xludf.DUMMYFUNCTION("""COMPUTED_VALUE"""),240.2649)</f>
        <v>240.2649</v>
      </c>
    </row>
    <row r="316">
      <c r="A316" s="26" t="str">
        <f>IFERROR(__xludf.DUMMYFUNCTION("""COMPUTED_VALUE"""),"CA-2015-135545")</f>
        <v>CA-2015-135545</v>
      </c>
      <c r="B316" s="27">
        <f>IFERROR(__xludf.DUMMYFUNCTION("""COMPUTED_VALUE"""),42332.0)</f>
        <v>42332</v>
      </c>
      <c r="C316" s="26" t="str">
        <f>IFERROR(__xludf.DUMMYFUNCTION("""COMPUTED_VALUE"""),"Kunst Miller")</f>
        <v>Kunst Miller</v>
      </c>
      <c r="D316" s="26" t="str">
        <f>IFERROR(__xludf.DUMMYFUNCTION("""COMPUTED_VALUE"""),"Consumer")</f>
        <v>Consumer</v>
      </c>
      <c r="E316" s="26" t="str">
        <f>IFERROR(__xludf.DUMMYFUNCTION("""COMPUTED_VALUE"""),"West")</f>
        <v>West</v>
      </c>
      <c r="F316" s="26">
        <f>IFERROR(__xludf.DUMMYFUNCTION("""COMPUTED_VALUE"""),13.98)</f>
        <v>13.98</v>
      </c>
      <c r="G316" s="26">
        <f>IFERROR(__xludf.DUMMYFUNCTION("""COMPUTED_VALUE"""),2.0)</f>
        <v>2</v>
      </c>
      <c r="H316" s="26">
        <f>IFERROR(__xludf.DUMMYFUNCTION("""COMPUTED_VALUE"""),6.1512)</f>
        <v>6.1512</v>
      </c>
    </row>
    <row r="317">
      <c r="A317" s="26" t="str">
        <f>IFERROR(__xludf.DUMMYFUNCTION("""COMPUTED_VALUE"""),"US-2015-156867")</f>
        <v>US-2015-156867</v>
      </c>
      <c r="B317" s="27">
        <f>IFERROR(__xludf.DUMMYFUNCTION("""COMPUTED_VALUE"""),42321.0)</f>
        <v>42321</v>
      </c>
      <c r="C317" s="26" t="str">
        <f>IFERROR(__xludf.DUMMYFUNCTION("""COMPUTED_VALUE"""),"Lena Cacioppo")</f>
        <v>Lena Cacioppo</v>
      </c>
      <c r="D317" s="26" t="str">
        <f>IFERROR(__xludf.DUMMYFUNCTION("""COMPUTED_VALUE"""),"Consumer")</f>
        <v>Consumer</v>
      </c>
      <c r="E317" s="26" t="str">
        <f>IFERROR(__xludf.DUMMYFUNCTION("""COMPUTED_VALUE"""),"West")</f>
        <v>West</v>
      </c>
      <c r="F317" s="26">
        <f>IFERROR(__xludf.DUMMYFUNCTION("""COMPUTED_VALUE"""),238.896)</f>
        <v>238.896</v>
      </c>
      <c r="G317" s="26">
        <f>IFERROR(__xludf.DUMMYFUNCTION("""COMPUTED_VALUE"""),6.0)</f>
        <v>6</v>
      </c>
      <c r="H317" s="26">
        <f>IFERROR(__xludf.DUMMYFUNCTION("""COMPUTED_VALUE"""),-26.8758)</f>
        <v>-26.8758</v>
      </c>
    </row>
    <row r="318">
      <c r="A318" s="26" t="str">
        <f>IFERROR(__xludf.DUMMYFUNCTION("""COMPUTED_VALUE"""),"CA-2015-110457")</f>
        <v>CA-2015-110457</v>
      </c>
      <c r="B318" s="27">
        <f>IFERROR(__xludf.DUMMYFUNCTION("""COMPUTED_VALUE"""),42065.0)</f>
        <v>42065</v>
      </c>
      <c r="C318" s="26" t="str">
        <f>IFERROR(__xludf.DUMMYFUNCTION("""COMPUTED_VALUE"""),"Dave Kipp")</f>
        <v>Dave Kipp</v>
      </c>
      <c r="D318" s="26" t="str">
        <f>IFERROR(__xludf.DUMMYFUNCTION("""COMPUTED_VALUE"""),"Consumer")</f>
        <v>Consumer</v>
      </c>
      <c r="E318" s="26" t="str">
        <f>IFERROR(__xludf.DUMMYFUNCTION("""COMPUTED_VALUE"""),"West")</f>
        <v>West</v>
      </c>
      <c r="F318" s="26">
        <f>IFERROR(__xludf.DUMMYFUNCTION("""COMPUTED_VALUE"""),787.53)</f>
        <v>787.53</v>
      </c>
      <c r="G318" s="26">
        <f>IFERROR(__xludf.DUMMYFUNCTION("""COMPUTED_VALUE"""),3.0)</f>
        <v>3</v>
      </c>
      <c r="H318" s="26">
        <f>IFERROR(__xludf.DUMMYFUNCTION("""COMPUTED_VALUE"""),165.3813)</f>
        <v>165.3813</v>
      </c>
    </row>
    <row r="319">
      <c r="A319" s="26" t="str">
        <f>IFERROR(__xludf.DUMMYFUNCTION("""COMPUTED_VALUE"""),"CA-2015-110744")</f>
        <v>CA-2015-110744</v>
      </c>
      <c r="B319" s="27">
        <f>IFERROR(__xludf.DUMMYFUNCTION("""COMPUTED_VALUE"""),42254.0)</f>
        <v>42254</v>
      </c>
      <c r="C319" s="26" t="str">
        <f>IFERROR(__xludf.DUMMYFUNCTION("""COMPUTED_VALUE"""),"Helen Andreada")</f>
        <v>Helen Andreada</v>
      </c>
      <c r="D319" s="26" t="str">
        <f>IFERROR(__xludf.DUMMYFUNCTION("""COMPUTED_VALUE"""),"Consumer")</f>
        <v>Consumer</v>
      </c>
      <c r="E319" s="26" t="str">
        <f>IFERROR(__xludf.DUMMYFUNCTION("""COMPUTED_VALUE"""),"West")</f>
        <v>West</v>
      </c>
      <c r="F319" s="26">
        <f>IFERROR(__xludf.DUMMYFUNCTION("""COMPUTED_VALUE"""),671.93)</f>
        <v>671.93</v>
      </c>
      <c r="G319" s="26">
        <f>IFERROR(__xludf.DUMMYFUNCTION("""COMPUTED_VALUE"""),7.0)</f>
        <v>7</v>
      </c>
      <c r="H319" s="26">
        <f>IFERROR(__xludf.DUMMYFUNCTION("""COMPUTED_VALUE"""),20.1579)</f>
        <v>20.1579</v>
      </c>
    </row>
    <row r="320">
      <c r="A320" s="26" t="str">
        <f>IFERROR(__xludf.DUMMYFUNCTION("""COMPUTED_VALUE"""),"CA-2015-124919")</f>
        <v>CA-2015-124919</v>
      </c>
      <c r="B320" s="27">
        <f>IFERROR(__xludf.DUMMYFUNCTION("""COMPUTED_VALUE"""),42155.0)</f>
        <v>42155</v>
      </c>
      <c r="C320" s="26" t="str">
        <f>IFERROR(__xludf.DUMMYFUNCTION("""COMPUTED_VALUE"""),"Stephanie Phelps")</f>
        <v>Stephanie Phelps</v>
      </c>
      <c r="D320" s="26" t="str">
        <f>IFERROR(__xludf.DUMMYFUNCTION("""COMPUTED_VALUE"""),"Corporate")</f>
        <v>Corporate</v>
      </c>
      <c r="E320" s="26" t="str">
        <f>IFERROR(__xludf.DUMMYFUNCTION("""COMPUTED_VALUE"""),"West")</f>
        <v>West</v>
      </c>
      <c r="F320" s="26">
        <f>IFERROR(__xludf.DUMMYFUNCTION("""COMPUTED_VALUE"""),58.38)</f>
        <v>58.38</v>
      </c>
      <c r="G320" s="26">
        <f>IFERROR(__xludf.DUMMYFUNCTION("""COMPUTED_VALUE"""),7.0)</f>
        <v>7</v>
      </c>
      <c r="H320" s="26">
        <f>IFERROR(__xludf.DUMMYFUNCTION("""COMPUTED_VALUE"""),26.271)</f>
        <v>26.271</v>
      </c>
    </row>
    <row r="321">
      <c r="A321" s="26" t="str">
        <f>IFERROR(__xludf.DUMMYFUNCTION("""COMPUTED_VALUE"""),"CA-2015-118948")</f>
        <v>CA-2015-118948</v>
      </c>
      <c r="B321" s="27">
        <f>IFERROR(__xludf.DUMMYFUNCTION("""COMPUTED_VALUE"""),42152.0)</f>
        <v>42152</v>
      </c>
      <c r="C321" s="26" t="str">
        <f>IFERROR(__xludf.DUMMYFUNCTION("""COMPUTED_VALUE"""),"Neil Knudson")</f>
        <v>Neil Knudson</v>
      </c>
      <c r="D321" s="26" t="str">
        <f>IFERROR(__xludf.DUMMYFUNCTION("""COMPUTED_VALUE"""),"Home Office")</f>
        <v>Home Office</v>
      </c>
      <c r="E321" s="26" t="str">
        <f>IFERROR(__xludf.DUMMYFUNCTION("""COMPUTED_VALUE"""),"West")</f>
        <v>West</v>
      </c>
      <c r="F321" s="26">
        <f>IFERROR(__xludf.DUMMYFUNCTION("""COMPUTED_VALUE"""),6.63)</f>
        <v>6.63</v>
      </c>
      <c r="G321" s="26">
        <f>IFERROR(__xludf.DUMMYFUNCTION("""COMPUTED_VALUE"""),3.0)</f>
        <v>3</v>
      </c>
      <c r="H321" s="26">
        <f>IFERROR(__xludf.DUMMYFUNCTION("""COMPUTED_VALUE"""),1.7901)</f>
        <v>1.7901</v>
      </c>
    </row>
    <row r="322">
      <c r="A322" s="26" t="str">
        <f>IFERROR(__xludf.DUMMYFUNCTION("""COMPUTED_VALUE"""),"CA-2015-131457")</f>
        <v>CA-2015-131457</v>
      </c>
      <c r="B322" s="27">
        <f>IFERROR(__xludf.DUMMYFUNCTION("""COMPUTED_VALUE"""),42308.0)</f>
        <v>42308</v>
      </c>
      <c r="C322" s="26" t="str">
        <f>IFERROR(__xludf.DUMMYFUNCTION("""COMPUTED_VALUE"""),"Mary Zewe")</f>
        <v>Mary Zewe</v>
      </c>
      <c r="D322" s="26" t="str">
        <f>IFERROR(__xludf.DUMMYFUNCTION("""COMPUTED_VALUE"""),"Corporate")</f>
        <v>Corporate</v>
      </c>
      <c r="E322" s="26" t="str">
        <f>IFERROR(__xludf.DUMMYFUNCTION("""COMPUTED_VALUE"""),"West")</f>
        <v>West</v>
      </c>
      <c r="F322" s="26">
        <f>IFERROR(__xludf.DUMMYFUNCTION("""COMPUTED_VALUE"""),14.28)</f>
        <v>14.28</v>
      </c>
      <c r="G322" s="26">
        <f>IFERROR(__xludf.DUMMYFUNCTION("""COMPUTED_VALUE"""),7.0)</f>
        <v>7</v>
      </c>
      <c r="H322" s="26">
        <f>IFERROR(__xludf.DUMMYFUNCTION("""COMPUTED_VALUE"""),6.7116)</f>
        <v>6.7116</v>
      </c>
    </row>
    <row r="323">
      <c r="A323" s="26" t="str">
        <f>IFERROR(__xludf.DUMMYFUNCTION("""COMPUTED_VALUE"""),"CA-2015-155040")</f>
        <v>CA-2015-155040</v>
      </c>
      <c r="B323" s="27">
        <f>IFERROR(__xludf.DUMMYFUNCTION("""COMPUTED_VALUE"""),42318.0)</f>
        <v>42318</v>
      </c>
      <c r="C323" s="26" t="str">
        <f>IFERROR(__xludf.DUMMYFUNCTION("""COMPUTED_VALUE"""),"Alan Hwang")</f>
        <v>Alan Hwang</v>
      </c>
      <c r="D323" s="26" t="str">
        <f>IFERROR(__xludf.DUMMYFUNCTION("""COMPUTED_VALUE"""),"Consumer")</f>
        <v>Consumer</v>
      </c>
      <c r="E323" s="26" t="str">
        <f>IFERROR(__xludf.DUMMYFUNCTION("""COMPUTED_VALUE"""),"West")</f>
        <v>West</v>
      </c>
      <c r="F323" s="26">
        <f>IFERROR(__xludf.DUMMYFUNCTION("""COMPUTED_VALUE"""),79.9)</f>
        <v>79.9</v>
      </c>
      <c r="G323" s="26">
        <f>IFERROR(__xludf.DUMMYFUNCTION("""COMPUTED_VALUE"""),2.0)</f>
        <v>2</v>
      </c>
      <c r="H323" s="26">
        <f>IFERROR(__xludf.DUMMYFUNCTION("""COMPUTED_VALUE"""),35.156)</f>
        <v>35.156</v>
      </c>
    </row>
    <row r="324">
      <c r="A324" s="26" t="str">
        <f>IFERROR(__xludf.DUMMYFUNCTION("""COMPUTED_VALUE"""),"CA-2015-155334")</f>
        <v>CA-2015-155334</v>
      </c>
      <c r="B324" s="27">
        <f>IFERROR(__xludf.DUMMYFUNCTION("""COMPUTED_VALUE"""),42215.0)</f>
        <v>42215</v>
      </c>
      <c r="C324" s="26" t="str">
        <f>IFERROR(__xludf.DUMMYFUNCTION("""COMPUTED_VALUE"""),"Helen Andreada")</f>
        <v>Helen Andreada</v>
      </c>
      <c r="D324" s="26" t="str">
        <f>IFERROR(__xludf.DUMMYFUNCTION("""COMPUTED_VALUE"""),"Consumer")</f>
        <v>Consumer</v>
      </c>
      <c r="E324" s="26" t="str">
        <f>IFERROR(__xludf.DUMMYFUNCTION("""COMPUTED_VALUE"""),"West")</f>
        <v>West</v>
      </c>
      <c r="F324" s="26">
        <f>IFERROR(__xludf.DUMMYFUNCTION("""COMPUTED_VALUE"""),209.93)</f>
        <v>209.93</v>
      </c>
      <c r="G324" s="26">
        <f>IFERROR(__xludf.DUMMYFUNCTION("""COMPUTED_VALUE"""),7.0)</f>
        <v>7</v>
      </c>
      <c r="H324" s="26">
        <f>IFERROR(__xludf.DUMMYFUNCTION("""COMPUTED_VALUE"""),92.3692)</f>
        <v>92.3692</v>
      </c>
    </row>
    <row r="325">
      <c r="A325" s="26" t="str">
        <f>IFERROR(__xludf.DUMMYFUNCTION("""COMPUTED_VALUE"""),"CA-2015-130890")</f>
        <v>CA-2015-130890</v>
      </c>
      <c r="B325" s="27">
        <f>IFERROR(__xludf.DUMMYFUNCTION("""COMPUTED_VALUE"""),42310.0)</f>
        <v>42310</v>
      </c>
      <c r="C325" s="26" t="str">
        <f>IFERROR(__xludf.DUMMYFUNCTION("""COMPUTED_VALUE"""),"Jas O'Carroll")</f>
        <v>Jas O'Carroll</v>
      </c>
      <c r="D325" s="26" t="str">
        <f>IFERROR(__xludf.DUMMYFUNCTION("""COMPUTED_VALUE"""),"Consumer")</f>
        <v>Consumer</v>
      </c>
      <c r="E325" s="26" t="str">
        <f>IFERROR(__xludf.DUMMYFUNCTION("""COMPUTED_VALUE"""),"West")</f>
        <v>West</v>
      </c>
      <c r="F325" s="26">
        <f>IFERROR(__xludf.DUMMYFUNCTION("""COMPUTED_VALUE"""),1038.84)</f>
        <v>1038.84</v>
      </c>
      <c r="G325" s="26">
        <f>IFERROR(__xludf.DUMMYFUNCTION("""COMPUTED_VALUE"""),5.0)</f>
        <v>5</v>
      </c>
      <c r="H325" s="26">
        <f>IFERROR(__xludf.DUMMYFUNCTION("""COMPUTED_VALUE"""),51.942)</f>
        <v>51.942</v>
      </c>
    </row>
    <row r="326">
      <c r="A326" s="26" t="str">
        <f>IFERROR(__xludf.DUMMYFUNCTION("""COMPUTED_VALUE"""),"CA-2015-130883")</f>
        <v>CA-2015-130883</v>
      </c>
      <c r="B326" s="27">
        <f>IFERROR(__xludf.DUMMYFUNCTION("""COMPUTED_VALUE"""),42273.0)</f>
        <v>42273</v>
      </c>
      <c r="C326" s="26" t="str">
        <f>IFERROR(__xludf.DUMMYFUNCTION("""COMPUTED_VALUE"""),"Tracy Blumstein")</f>
        <v>Tracy Blumstein</v>
      </c>
      <c r="D326" s="26" t="str">
        <f>IFERROR(__xludf.DUMMYFUNCTION("""COMPUTED_VALUE"""),"Consumer")</f>
        <v>Consumer</v>
      </c>
      <c r="E326" s="26" t="str">
        <f>IFERROR(__xludf.DUMMYFUNCTION("""COMPUTED_VALUE"""),"West")</f>
        <v>West</v>
      </c>
      <c r="F326" s="26">
        <f>IFERROR(__xludf.DUMMYFUNCTION("""COMPUTED_VALUE"""),141.76)</f>
        <v>141.76</v>
      </c>
      <c r="G326" s="26">
        <f>IFERROR(__xludf.DUMMYFUNCTION("""COMPUTED_VALUE"""),5.0)</f>
        <v>5</v>
      </c>
      <c r="H326" s="26">
        <f>IFERROR(__xludf.DUMMYFUNCTION("""COMPUTED_VALUE"""),47.844)</f>
        <v>47.844</v>
      </c>
    </row>
    <row r="327">
      <c r="A327" s="26" t="str">
        <f>IFERROR(__xludf.DUMMYFUNCTION("""COMPUTED_VALUE"""),"CA-2015-137946")</f>
        <v>CA-2015-137946</v>
      </c>
      <c r="B327" s="27">
        <f>IFERROR(__xludf.DUMMYFUNCTION("""COMPUTED_VALUE"""),42248.0)</f>
        <v>42248</v>
      </c>
      <c r="C327" s="26" t="str">
        <f>IFERROR(__xludf.DUMMYFUNCTION("""COMPUTED_VALUE"""),"Doug Bickford")</f>
        <v>Doug Bickford</v>
      </c>
      <c r="D327" s="26" t="str">
        <f>IFERROR(__xludf.DUMMYFUNCTION("""COMPUTED_VALUE"""),"Consumer")</f>
        <v>Consumer</v>
      </c>
      <c r="E327" s="26" t="str">
        <f>IFERROR(__xludf.DUMMYFUNCTION("""COMPUTED_VALUE"""),"West")</f>
        <v>West</v>
      </c>
      <c r="F327" s="26">
        <f>IFERROR(__xludf.DUMMYFUNCTION("""COMPUTED_VALUE"""),4.752)</f>
        <v>4.752</v>
      </c>
      <c r="G327" s="26">
        <f>IFERROR(__xludf.DUMMYFUNCTION("""COMPUTED_VALUE"""),1.0)</f>
        <v>1</v>
      </c>
      <c r="H327" s="26">
        <f>IFERROR(__xludf.DUMMYFUNCTION("""COMPUTED_VALUE"""),1.6038)</f>
        <v>1.6038</v>
      </c>
    </row>
    <row r="328">
      <c r="A328" s="26" t="str">
        <f>IFERROR(__xludf.DUMMYFUNCTION("""COMPUTED_VALUE"""),"CA-2015-128167")</f>
        <v>CA-2015-128167</v>
      </c>
      <c r="B328" s="27">
        <f>IFERROR(__xludf.DUMMYFUNCTION("""COMPUTED_VALUE"""),42177.0)</f>
        <v>42177</v>
      </c>
      <c r="C328" s="26" t="str">
        <f>IFERROR(__xludf.DUMMYFUNCTION("""COMPUTED_VALUE"""),"Ken Lonsdale")</f>
        <v>Ken Lonsdale</v>
      </c>
      <c r="D328" s="26" t="str">
        <f>IFERROR(__xludf.DUMMYFUNCTION("""COMPUTED_VALUE"""),"Consumer")</f>
        <v>Consumer</v>
      </c>
      <c r="E328" s="26" t="str">
        <f>IFERROR(__xludf.DUMMYFUNCTION("""COMPUTED_VALUE"""),"West")</f>
        <v>West</v>
      </c>
      <c r="F328" s="26">
        <f>IFERROR(__xludf.DUMMYFUNCTION("""COMPUTED_VALUE"""),4.96)</f>
        <v>4.96</v>
      </c>
      <c r="G328" s="26">
        <f>IFERROR(__xludf.DUMMYFUNCTION("""COMPUTED_VALUE"""),4.0)</f>
        <v>4</v>
      </c>
      <c r="H328" s="26">
        <f>IFERROR(__xludf.DUMMYFUNCTION("""COMPUTED_VALUE"""),2.3312)</f>
        <v>2.3312</v>
      </c>
    </row>
    <row r="329">
      <c r="A329" s="26" t="str">
        <f>IFERROR(__xludf.DUMMYFUNCTION("""COMPUTED_VALUE"""),"CA-2015-109638")</f>
        <v>CA-2015-109638</v>
      </c>
      <c r="B329" s="27">
        <f>IFERROR(__xludf.DUMMYFUNCTION("""COMPUTED_VALUE"""),42353.0)</f>
        <v>42353</v>
      </c>
      <c r="C329" s="26" t="str">
        <f>IFERROR(__xludf.DUMMYFUNCTION("""COMPUTED_VALUE"""),"Joseph Holt")</f>
        <v>Joseph Holt</v>
      </c>
      <c r="D329" s="26" t="str">
        <f>IFERROR(__xludf.DUMMYFUNCTION("""COMPUTED_VALUE"""),"Consumer")</f>
        <v>Consumer</v>
      </c>
      <c r="E329" s="26" t="str">
        <f>IFERROR(__xludf.DUMMYFUNCTION("""COMPUTED_VALUE"""),"West")</f>
        <v>West</v>
      </c>
      <c r="F329" s="26">
        <f>IFERROR(__xludf.DUMMYFUNCTION("""COMPUTED_VALUE"""),103.92)</f>
        <v>103.92</v>
      </c>
      <c r="G329" s="26">
        <f>IFERROR(__xludf.DUMMYFUNCTION("""COMPUTED_VALUE"""),4.0)</f>
        <v>4</v>
      </c>
      <c r="H329" s="26">
        <f>IFERROR(__xludf.DUMMYFUNCTION("""COMPUTED_VALUE"""),36.372)</f>
        <v>36.372</v>
      </c>
    </row>
    <row r="330">
      <c r="A330" s="26" t="str">
        <f>IFERROR(__xludf.DUMMYFUNCTION("""COMPUTED_VALUE"""),"CA-2015-102848")</f>
        <v>CA-2015-102848</v>
      </c>
      <c r="B330" s="27">
        <f>IFERROR(__xludf.DUMMYFUNCTION("""COMPUTED_VALUE"""),42315.0)</f>
        <v>42315</v>
      </c>
      <c r="C330" s="26" t="str">
        <f>IFERROR(__xludf.DUMMYFUNCTION("""COMPUTED_VALUE"""),"Karen Bern")</f>
        <v>Karen Bern</v>
      </c>
      <c r="D330" s="26" t="str">
        <f>IFERROR(__xludf.DUMMYFUNCTION("""COMPUTED_VALUE"""),"Corporate")</f>
        <v>Corporate</v>
      </c>
      <c r="E330" s="26" t="str">
        <f>IFERROR(__xludf.DUMMYFUNCTION("""COMPUTED_VALUE"""),"West")</f>
        <v>West</v>
      </c>
      <c r="F330" s="26">
        <f>IFERROR(__xludf.DUMMYFUNCTION("""COMPUTED_VALUE"""),190.72)</f>
        <v>190.72</v>
      </c>
      <c r="G330" s="26">
        <f>IFERROR(__xludf.DUMMYFUNCTION("""COMPUTED_VALUE"""),1.0)</f>
        <v>1</v>
      </c>
      <c r="H330" s="26">
        <f>IFERROR(__xludf.DUMMYFUNCTION("""COMPUTED_VALUE"""),11.92)</f>
        <v>11.92</v>
      </c>
    </row>
    <row r="331">
      <c r="A331" s="26" t="str">
        <f>IFERROR(__xludf.DUMMYFUNCTION("""COMPUTED_VALUE"""),"CA-2015-130736")</f>
        <v>CA-2015-130736</v>
      </c>
      <c r="B331" s="27">
        <f>IFERROR(__xludf.DUMMYFUNCTION("""COMPUTED_VALUE"""),42345.0)</f>
        <v>42345</v>
      </c>
      <c r="C331" s="26" t="str">
        <f>IFERROR(__xludf.DUMMYFUNCTION("""COMPUTED_VALUE"""),"Jeremy Farry")</f>
        <v>Jeremy Farry</v>
      </c>
      <c r="D331" s="26" t="str">
        <f>IFERROR(__xludf.DUMMYFUNCTION("""COMPUTED_VALUE"""),"Consumer")</f>
        <v>Consumer</v>
      </c>
      <c r="E331" s="26" t="str">
        <f>IFERROR(__xludf.DUMMYFUNCTION("""COMPUTED_VALUE"""),"West")</f>
        <v>West</v>
      </c>
      <c r="F331" s="26">
        <f>IFERROR(__xludf.DUMMYFUNCTION("""COMPUTED_VALUE"""),3.96)</f>
        <v>3.96</v>
      </c>
      <c r="G331" s="26">
        <f>IFERROR(__xludf.DUMMYFUNCTION("""COMPUTED_VALUE"""),2.0)</f>
        <v>2</v>
      </c>
      <c r="H331" s="26">
        <f>IFERROR(__xludf.DUMMYFUNCTION("""COMPUTED_VALUE"""),0.0)</f>
        <v>0</v>
      </c>
    </row>
    <row r="332">
      <c r="A332" s="26" t="str">
        <f>IFERROR(__xludf.DUMMYFUNCTION("""COMPUTED_VALUE"""),"CA-2015-149713")</f>
        <v>CA-2015-149713</v>
      </c>
      <c r="B332" s="27">
        <f>IFERROR(__xludf.DUMMYFUNCTION("""COMPUTED_VALUE"""),42265.0)</f>
        <v>42265</v>
      </c>
      <c r="C332" s="26" t="str">
        <f>IFERROR(__xludf.DUMMYFUNCTION("""COMPUTED_VALUE"""),"Trudy Glocke")</f>
        <v>Trudy Glocke</v>
      </c>
      <c r="D332" s="26" t="str">
        <f>IFERROR(__xludf.DUMMYFUNCTION("""COMPUTED_VALUE"""),"Consumer")</f>
        <v>Consumer</v>
      </c>
      <c r="E332" s="26" t="str">
        <f>IFERROR(__xludf.DUMMYFUNCTION("""COMPUTED_VALUE"""),"West")</f>
        <v>West</v>
      </c>
      <c r="F332" s="26">
        <f>IFERROR(__xludf.DUMMYFUNCTION("""COMPUTED_VALUE"""),160.72)</f>
        <v>160.72</v>
      </c>
      <c r="G332" s="26">
        <f>IFERROR(__xludf.DUMMYFUNCTION("""COMPUTED_VALUE"""),14.0)</f>
        <v>14</v>
      </c>
      <c r="H332" s="26">
        <f>IFERROR(__xludf.DUMMYFUNCTION("""COMPUTED_VALUE"""),78.7528)</f>
        <v>78.7528</v>
      </c>
    </row>
    <row r="333">
      <c r="A333" s="26" t="str">
        <f>IFERROR(__xludf.DUMMYFUNCTION("""COMPUTED_VALUE"""),"CA-2015-132906")</f>
        <v>CA-2015-132906</v>
      </c>
      <c r="B333" s="27">
        <f>IFERROR(__xludf.DUMMYFUNCTION("""COMPUTED_VALUE"""),42257.0)</f>
        <v>42257</v>
      </c>
      <c r="C333" s="26" t="str">
        <f>IFERROR(__xludf.DUMMYFUNCTION("""COMPUTED_VALUE"""),"Charles Crestani")</f>
        <v>Charles Crestani</v>
      </c>
      <c r="D333" s="26" t="str">
        <f>IFERROR(__xludf.DUMMYFUNCTION("""COMPUTED_VALUE"""),"Consumer")</f>
        <v>Consumer</v>
      </c>
      <c r="E333" s="26" t="str">
        <f>IFERROR(__xludf.DUMMYFUNCTION("""COMPUTED_VALUE"""),"West")</f>
        <v>West</v>
      </c>
      <c r="F333" s="26">
        <f>IFERROR(__xludf.DUMMYFUNCTION("""COMPUTED_VALUE"""),51.52)</f>
        <v>51.52</v>
      </c>
      <c r="G333" s="26">
        <f>IFERROR(__xludf.DUMMYFUNCTION("""COMPUTED_VALUE"""),4.0)</f>
        <v>4</v>
      </c>
      <c r="H333" s="26">
        <f>IFERROR(__xludf.DUMMYFUNCTION("""COMPUTED_VALUE"""),1.5456)</f>
        <v>1.5456</v>
      </c>
    </row>
    <row r="334">
      <c r="A334" s="26" t="str">
        <f>IFERROR(__xludf.DUMMYFUNCTION("""COMPUTED_VALUE"""),"CA-2015-131534")</f>
        <v>CA-2015-131534</v>
      </c>
      <c r="B334" s="27">
        <f>IFERROR(__xludf.DUMMYFUNCTION("""COMPUTED_VALUE"""),42091.0)</f>
        <v>42091</v>
      </c>
      <c r="C334" s="26" t="str">
        <f>IFERROR(__xludf.DUMMYFUNCTION("""COMPUTED_VALUE"""),"Alan Barnes")</f>
        <v>Alan Barnes</v>
      </c>
      <c r="D334" s="26" t="str">
        <f>IFERROR(__xludf.DUMMYFUNCTION("""COMPUTED_VALUE"""),"Consumer")</f>
        <v>Consumer</v>
      </c>
      <c r="E334" s="26" t="str">
        <f>IFERROR(__xludf.DUMMYFUNCTION("""COMPUTED_VALUE"""),"West")</f>
        <v>West</v>
      </c>
      <c r="F334" s="26">
        <f>IFERROR(__xludf.DUMMYFUNCTION("""COMPUTED_VALUE"""),166.24)</f>
        <v>166.24</v>
      </c>
      <c r="G334" s="26">
        <f>IFERROR(__xludf.DUMMYFUNCTION("""COMPUTED_VALUE"""),1.0)</f>
        <v>1</v>
      </c>
      <c r="H334" s="26">
        <f>IFERROR(__xludf.DUMMYFUNCTION("""COMPUTED_VALUE"""),24.936)</f>
        <v>24.936</v>
      </c>
    </row>
    <row r="335">
      <c r="A335" s="26" t="str">
        <f>IFERROR(__xludf.DUMMYFUNCTION("""COMPUTED_VALUE"""),"CA-2015-142027")</f>
        <v>CA-2015-142027</v>
      </c>
      <c r="B335" s="27">
        <f>IFERROR(__xludf.DUMMYFUNCTION("""COMPUTED_VALUE"""),42103.0)</f>
        <v>42103</v>
      </c>
      <c r="C335" s="26" t="str">
        <f>IFERROR(__xludf.DUMMYFUNCTION("""COMPUTED_VALUE"""),"Jay Kimmel")</f>
        <v>Jay Kimmel</v>
      </c>
      <c r="D335" s="26" t="str">
        <f>IFERROR(__xludf.DUMMYFUNCTION("""COMPUTED_VALUE"""),"Consumer")</f>
        <v>Consumer</v>
      </c>
      <c r="E335" s="26" t="str">
        <f>IFERROR(__xludf.DUMMYFUNCTION("""COMPUTED_VALUE"""),"West")</f>
        <v>West</v>
      </c>
      <c r="F335" s="26">
        <f>IFERROR(__xludf.DUMMYFUNCTION("""COMPUTED_VALUE"""),369.912)</f>
        <v>369.912</v>
      </c>
      <c r="G335" s="26">
        <f>IFERROR(__xludf.DUMMYFUNCTION("""COMPUTED_VALUE"""),3.0)</f>
        <v>3</v>
      </c>
      <c r="H335" s="26">
        <f>IFERROR(__xludf.DUMMYFUNCTION("""COMPUTED_VALUE"""),-13.8717)</f>
        <v>-13.8717</v>
      </c>
    </row>
    <row r="336">
      <c r="A336" s="26" t="str">
        <f>IFERROR(__xludf.DUMMYFUNCTION("""COMPUTED_VALUE"""),"CA-2015-135272")</f>
        <v>CA-2015-135272</v>
      </c>
      <c r="B336" s="27">
        <f>IFERROR(__xludf.DUMMYFUNCTION("""COMPUTED_VALUE"""),42345.0)</f>
        <v>42345</v>
      </c>
      <c r="C336" s="26" t="str">
        <f>IFERROR(__xludf.DUMMYFUNCTION("""COMPUTED_VALUE"""),"Melanie Seite")</f>
        <v>Melanie Seite</v>
      </c>
      <c r="D336" s="26" t="str">
        <f>IFERROR(__xludf.DUMMYFUNCTION("""COMPUTED_VALUE"""),"Consumer")</f>
        <v>Consumer</v>
      </c>
      <c r="E336" s="26" t="str">
        <f>IFERROR(__xludf.DUMMYFUNCTION("""COMPUTED_VALUE"""),"West")</f>
        <v>West</v>
      </c>
      <c r="F336" s="26">
        <f>IFERROR(__xludf.DUMMYFUNCTION("""COMPUTED_VALUE"""),79.92)</f>
        <v>79.92</v>
      </c>
      <c r="G336" s="26">
        <f>IFERROR(__xludf.DUMMYFUNCTION("""COMPUTED_VALUE"""),4.0)</f>
        <v>4</v>
      </c>
      <c r="H336" s="26">
        <f>IFERROR(__xludf.DUMMYFUNCTION("""COMPUTED_VALUE"""),28.7712)</f>
        <v>28.7712</v>
      </c>
    </row>
    <row r="337">
      <c r="A337" s="26" t="str">
        <f>IFERROR(__xludf.DUMMYFUNCTION("""COMPUTED_VALUE"""),"CA-2015-112319")</f>
        <v>CA-2015-112319</v>
      </c>
      <c r="B337" s="27">
        <f>IFERROR(__xludf.DUMMYFUNCTION("""COMPUTED_VALUE"""),42247.0)</f>
        <v>42247</v>
      </c>
      <c r="C337" s="26" t="str">
        <f>IFERROR(__xludf.DUMMYFUNCTION("""COMPUTED_VALUE"""),"Andrew Roberts")</f>
        <v>Andrew Roberts</v>
      </c>
      <c r="D337" s="26" t="str">
        <f>IFERROR(__xludf.DUMMYFUNCTION("""COMPUTED_VALUE"""),"Consumer")</f>
        <v>Consumer</v>
      </c>
      <c r="E337" s="26" t="str">
        <f>IFERROR(__xludf.DUMMYFUNCTION("""COMPUTED_VALUE"""),"West")</f>
        <v>West</v>
      </c>
      <c r="F337" s="26">
        <f>IFERROR(__xludf.DUMMYFUNCTION("""COMPUTED_VALUE"""),58.32)</f>
        <v>58.32</v>
      </c>
      <c r="G337" s="26">
        <f>IFERROR(__xludf.DUMMYFUNCTION("""COMPUTED_VALUE"""),9.0)</f>
        <v>9</v>
      </c>
      <c r="H337" s="26">
        <f>IFERROR(__xludf.DUMMYFUNCTION("""COMPUTED_VALUE"""),27.9936)</f>
        <v>27.9936</v>
      </c>
    </row>
    <row r="338">
      <c r="A338" s="26" t="str">
        <f>IFERROR(__xludf.DUMMYFUNCTION("""COMPUTED_VALUE"""),"CA-2015-144267")</f>
        <v>CA-2015-144267</v>
      </c>
      <c r="B338" s="27">
        <f>IFERROR(__xludf.DUMMYFUNCTION("""COMPUTED_VALUE"""),42237.0)</f>
        <v>42237</v>
      </c>
      <c r="C338" s="26" t="str">
        <f>IFERROR(__xludf.DUMMYFUNCTION("""COMPUTED_VALUE"""),"Nick Zandusky")</f>
        <v>Nick Zandusky</v>
      </c>
      <c r="D338" s="26" t="str">
        <f>IFERROR(__xludf.DUMMYFUNCTION("""COMPUTED_VALUE"""),"Home Office")</f>
        <v>Home Office</v>
      </c>
      <c r="E338" s="26" t="str">
        <f>IFERROR(__xludf.DUMMYFUNCTION("""COMPUTED_VALUE"""),"West")</f>
        <v>West</v>
      </c>
      <c r="F338" s="26">
        <f>IFERROR(__xludf.DUMMYFUNCTION("""COMPUTED_VALUE"""),544.008)</f>
        <v>544.008</v>
      </c>
      <c r="G338" s="26">
        <f>IFERROR(__xludf.DUMMYFUNCTION("""COMPUTED_VALUE"""),3.0)</f>
        <v>3</v>
      </c>
      <c r="H338" s="26">
        <f>IFERROR(__xludf.DUMMYFUNCTION("""COMPUTED_VALUE"""),40.8006)</f>
        <v>40.8006</v>
      </c>
    </row>
    <row r="339">
      <c r="A339" s="26" t="str">
        <f>IFERROR(__xludf.DUMMYFUNCTION("""COMPUTED_VALUE"""),"CA-2015-154620")</f>
        <v>CA-2015-154620</v>
      </c>
      <c r="B339" s="27">
        <f>IFERROR(__xludf.DUMMYFUNCTION("""COMPUTED_VALUE"""),42350.0)</f>
        <v>42350</v>
      </c>
      <c r="C339" s="26" t="str">
        <f>IFERROR(__xludf.DUMMYFUNCTION("""COMPUTED_VALUE"""),"Liz Thompson")</f>
        <v>Liz Thompson</v>
      </c>
      <c r="D339" s="26" t="str">
        <f>IFERROR(__xludf.DUMMYFUNCTION("""COMPUTED_VALUE"""),"Consumer")</f>
        <v>Consumer</v>
      </c>
      <c r="E339" s="26" t="str">
        <f>IFERROR(__xludf.DUMMYFUNCTION("""COMPUTED_VALUE"""),"West")</f>
        <v>West</v>
      </c>
      <c r="F339" s="26">
        <f>IFERROR(__xludf.DUMMYFUNCTION("""COMPUTED_VALUE"""),348.928)</f>
        <v>348.928</v>
      </c>
      <c r="G339" s="26">
        <f>IFERROR(__xludf.DUMMYFUNCTION("""COMPUTED_VALUE"""),2.0)</f>
        <v>2</v>
      </c>
      <c r="H339" s="26">
        <f>IFERROR(__xludf.DUMMYFUNCTION("""COMPUTED_VALUE"""),34.8928)</f>
        <v>34.8928</v>
      </c>
    </row>
    <row r="340">
      <c r="A340" s="26" t="str">
        <f>IFERROR(__xludf.DUMMYFUNCTION("""COMPUTED_VALUE"""),"CA-2015-101910")</f>
        <v>CA-2015-101910</v>
      </c>
      <c r="B340" s="27">
        <f>IFERROR(__xludf.DUMMYFUNCTION("""COMPUTED_VALUE"""),42335.0)</f>
        <v>42335</v>
      </c>
      <c r="C340" s="26" t="str">
        <f>IFERROR(__xludf.DUMMYFUNCTION("""COMPUTED_VALUE"""),"Carlos Daly")</f>
        <v>Carlos Daly</v>
      </c>
      <c r="D340" s="26" t="str">
        <f>IFERROR(__xludf.DUMMYFUNCTION("""COMPUTED_VALUE"""),"Consumer")</f>
        <v>Consumer</v>
      </c>
      <c r="E340" s="26" t="str">
        <f>IFERROR(__xludf.DUMMYFUNCTION("""COMPUTED_VALUE"""),"West")</f>
        <v>West</v>
      </c>
      <c r="F340" s="26">
        <f>IFERROR(__xludf.DUMMYFUNCTION("""COMPUTED_VALUE"""),283.92)</f>
        <v>283.92</v>
      </c>
      <c r="G340" s="26">
        <f>IFERROR(__xludf.DUMMYFUNCTION("""COMPUTED_VALUE"""),5.0)</f>
        <v>5</v>
      </c>
      <c r="H340" s="26">
        <f>IFERROR(__xludf.DUMMYFUNCTION("""COMPUTED_VALUE"""),17.745)</f>
        <v>17.745</v>
      </c>
    </row>
    <row r="341">
      <c r="A341" s="26" t="str">
        <f>IFERROR(__xludf.DUMMYFUNCTION("""COMPUTED_VALUE"""),"CA-2015-143602")</f>
        <v>CA-2015-143602</v>
      </c>
      <c r="B341" s="27">
        <f>IFERROR(__xludf.DUMMYFUNCTION("""COMPUTED_VALUE"""),42119.0)</f>
        <v>42119</v>
      </c>
      <c r="C341" s="26" t="str">
        <f>IFERROR(__xludf.DUMMYFUNCTION("""COMPUTED_VALUE"""),"Jill Stevenson")</f>
        <v>Jill Stevenson</v>
      </c>
      <c r="D341" s="26" t="str">
        <f>IFERROR(__xludf.DUMMYFUNCTION("""COMPUTED_VALUE"""),"Corporate")</f>
        <v>Corporate</v>
      </c>
      <c r="E341" s="26" t="str">
        <f>IFERROR(__xludf.DUMMYFUNCTION("""COMPUTED_VALUE"""),"West")</f>
        <v>West</v>
      </c>
      <c r="F341" s="26">
        <f>IFERROR(__xludf.DUMMYFUNCTION("""COMPUTED_VALUE"""),13.944)</f>
        <v>13.944</v>
      </c>
      <c r="G341" s="26">
        <f>IFERROR(__xludf.DUMMYFUNCTION("""COMPUTED_VALUE"""),3.0)</f>
        <v>3</v>
      </c>
      <c r="H341" s="26">
        <f>IFERROR(__xludf.DUMMYFUNCTION("""COMPUTED_VALUE"""),4.5318)</f>
        <v>4.5318</v>
      </c>
    </row>
    <row r="342">
      <c r="A342" s="26" t="str">
        <f>IFERROR(__xludf.DUMMYFUNCTION("""COMPUTED_VALUE"""),"CA-2015-148250")</f>
        <v>CA-2015-148250</v>
      </c>
      <c r="B342" s="27">
        <f>IFERROR(__xludf.DUMMYFUNCTION("""COMPUTED_VALUE"""),42351.0)</f>
        <v>42351</v>
      </c>
      <c r="C342" s="26" t="str">
        <f>IFERROR(__xludf.DUMMYFUNCTION("""COMPUTED_VALUE"""),"Rachel Payne")</f>
        <v>Rachel Payne</v>
      </c>
      <c r="D342" s="26" t="str">
        <f>IFERROR(__xludf.DUMMYFUNCTION("""COMPUTED_VALUE"""),"Corporate")</f>
        <v>Corporate</v>
      </c>
      <c r="E342" s="26" t="str">
        <f>IFERROR(__xludf.DUMMYFUNCTION("""COMPUTED_VALUE"""),"West")</f>
        <v>West</v>
      </c>
      <c r="F342" s="26">
        <f>IFERROR(__xludf.DUMMYFUNCTION("""COMPUTED_VALUE"""),12.96)</f>
        <v>12.96</v>
      </c>
      <c r="G342" s="26">
        <f>IFERROR(__xludf.DUMMYFUNCTION("""COMPUTED_VALUE"""),2.0)</f>
        <v>2</v>
      </c>
      <c r="H342" s="26">
        <f>IFERROR(__xludf.DUMMYFUNCTION("""COMPUTED_VALUE"""),6.2208)</f>
        <v>6.2208</v>
      </c>
    </row>
    <row r="343">
      <c r="A343" s="26" t="str">
        <f>IFERROR(__xludf.DUMMYFUNCTION("""COMPUTED_VALUE"""),"CA-2015-120880")</f>
        <v>CA-2015-120880</v>
      </c>
      <c r="B343" s="27">
        <f>IFERROR(__xludf.DUMMYFUNCTION("""COMPUTED_VALUE"""),42153.0)</f>
        <v>42153</v>
      </c>
      <c r="C343" s="26" t="str">
        <f>IFERROR(__xludf.DUMMYFUNCTION("""COMPUTED_VALUE"""),"John Lucas")</f>
        <v>John Lucas</v>
      </c>
      <c r="D343" s="26" t="str">
        <f>IFERROR(__xludf.DUMMYFUNCTION("""COMPUTED_VALUE"""),"Consumer")</f>
        <v>Consumer</v>
      </c>
      <c r="E343" s="26" t="str">
        <f>IFERROR(__xludf.DUMMYFUNCTION("""COMPUTED_VALUE"""),"West")</f>
        <v>West</v>
      </c>
      <c r="F343" s="26">
        <f>IFERROR(__xludf.DUMMYFUNCTION("""COMPUTED_VALUE"""),32.4)</f>
        <v>32.4</v>
      </c>
      <c r="G343" s="26">
        <f>IFERROR(__xludf.DUMMYFUNCTION("""COMPUTED_VALUE"""),5.0)</f>
        <v>5</v>
      </c>
      <c r="H343" s="26">
        <f>IFERROR(__xludf.DUMMYFUNCTION("""COMPUTED_VALUE"""),15.552)</f>
        <v>15.552</v>
      </c>
    </row>
    <row r="344">
      <c r="A344" s="26" t="str">
        <f>IFERROR(__xludf.DUMMYFUNCTION("""COMPUTED_VALUE"""),"US-2015-140200")</f>
        <v>US-2015-140200</v>
      </c>
      <c r="B344" s="27">
        <f>IFERROR(__xludf.DUMMYFUNCTION("""COMPUTED_VALUE"""),42211.0)</f>
        <v>42211</v>
      </c>
      <c r="C344" s="26" t="str">
        <f>IFERROR(__xludf.DUMMYFUNCTION("""COMPUTED_VALUE"""),"Cynthia Arntzen")</f>
        <v>Cynthia Arntzen</v>
      </c>
      <c r="D344" s="26" t="str">
        <f>IFERROR(__xludf.DUMMYFUNCTION("""COMPUTED_VALUE"""),"Consumer")</f>
        <v>Consumer</v>
      </c>
      <c r="E344" s="26" t="str">
        <f>IFERROR(__xludf.DUMMYFUNCTION("""COMPUTED_VALUE"""),"West")</f>
        <v>West</v>
      </c>
      <c r="F344" s="26">
        <f>IFERROR(__xludf.DUMMYFUNCTION("""COMPUTED_VALUE"""),393.165)</f>
        <v>393.165</v>
      </c>
      <c r="G344" s="26">
        <f>IFERROR(__xludf.DUMMYFUNCTION("""COMPUTED_VALUE"""),3.0)</f>
        <v>3</v>
      </c>
      <c r="H344" s="26">
        <f>IFERROR(__xludf.DUMMYFUNCTION("""COMPUTED_VALUE"""),-204.4458)</f>
        <v>-204.4458</v>
      </c>
    </row>
    <row r="345">
      <c r="A345" s="26" t="str">
        <f>IFERROR(__xludf.DUMMYFUNCTION("""COMPUTED_VALUE"""),"CA-2015-112571")</f>
        <v>CA-2015-112571</v>
      </c>
      <c r="B345" s="27">
        <f>IFERROR(__xludf.DUMMYFUNCTION("""COMPUTED_VALUE"""),42269.0)</f>
        <v>42269</v>
      </c>
      <c r="C345" s="26" t="str">
        <f>IFERROR(__xludf.DUMMYFUNCTION("""COMPUTED_VALUE"""),"Daniel Lacy")</f>
        <v>Daniel Lacy</v>
      </c>
      <c r="D345" s="26" t="str">
        <f>IFERROR(__xludf.DUMMYFUNCTION("""COMPUTED_VALUE"""),"Consumer")</f>
        <v>Consumer</v>
      </c>
      <c r="E345" s="26" t="str">
        <f>IFERROR(__xludf.DUMMYFUNCTION("""COMPUTED_VALUE"""),"West")</f>
        <v>West</v>
      </c>
      <c r="F345" s="26">
        <f>IFERROR(__xludf.DUMMYFUNCTION("""COMPUTED_VALUE"""),204.6)</f>
        <v>204.6</v>
      </c>
      <c r="G345" s="26">
        <f>IFERROR(__xludf.DUMMYFUNCTION("""COMPUTED_VALUE"""),2.0)</f>
        <v>2</v>
      </c>
      <c r="H345" s="26">
        <f>IFERROR(__xludf.DUMMYFUNCTION("""COMPUTED_VALUE"""),53.196)</f>
        <v>53.196</v>
      </c>
    </row>
    <row r="346">
      <c r="A346" s="26" t="str">
        <f>IFERROR(__xludf.DUMMYFUNCTION("""COMPUTED_VALUE"""),"CA-2015-126445")</f>
        <v>CA-2015-126445</v>
      </c>
      <c r="B346" s="27">
        <f>IFERROR(__xludf.DUMMYFUNCTION("""COMPUTED_VALUE"""),42243.0)</f>
        <v>42243</v>
      </c>
      <c r="C346" s="26" t="str">
        <f>IFERROR(__xludf.DUMMYFUNCTION("""COMPUTED_VALUE"""),"Ryan Akin")</f>
        <v>Ryan Akin</v>
      </c>
      <c r="D346" s="26" t="str">
        <f>IFERROR(__xludf.DUMMYFUNCTION("""COMPUTED_VALUE"""),"Consumer")</f>
        <v>Consumer</v>
      </c>
      <c r="E346" s="26" t="str">
        <f>IFERROR(__xludf.DUMMYFUNCTION("""COMPUTED_VALUE"""),"West")</f>
        <v>West</v>
      </c>
      <c r="F346" s="26">
        <f>IFERROR(__xludf.DUMMYFUNCTION("""COMPUTED_VALUE"""),484.65)</f>
        <v>484.65</v>
      </c>
      <c r="G346" s="26">
        <f>IFERROR(__xludf.DUMMYFUNCTION("""COMPUTED_VALUE"""),3.0)</f>
        <v>3</v>
      </c>
      <c r="H346" s="26">
        <f>IFERROR(__xludf.DUMMYFUNCTION("""COMPUTED_VALUE"""),92.0835)</f>
        <v>92.0835</v>
      </c>
    </row>
    <row r="347">
      <c r="A347" s="26" t="str">
        <f>IFERROR(__xludf.DUMMYFUNCTION("""COMPUTED_VALUE"""),"CA-2015-105312")</f>
        <v>CA-2015-105312</v>
      </c>
      <c r="B347" s="27">
        <f>IFERROR(__xludf.DUMMYFUNCTION("""COMPUTED_VALUE"""),42314.0)</f>
        <v>42314</v>
      </c>
      <c r="C347" s="26" t="str">
        <f>IFERROR(__xludf.DUMMYFUNCTION("""COMPUTED_VALUE"""),"Meg Tillman")</f>
        <v>Meg Tillman</v>
      </c>
      <c r="D347" s="26" t="str">
        <f>IFERROR(__xludf.DUMMYFUNCTION("""COMPUTED_VALUE"""),"Consumer")</f>
        <v>Consumer</v>
      </c>
      <c r="E347" s="26" t="str">
        <f>IFERROR(__xludf.DUMMYFUNCTION("""COMPUTED_VALUE"""),"West")</f>
        <v>West</v>
      </c>
      <c r="F347" s="26">
        <f>IFERROR(__xludf.DUMMYFUNCTION("""COMPUTED_VALUE"""),7.08)</f>
        <v>7.08</v>
      </c>
      <c r="G347" s="26">
        <f>IFERROR(__xludf.DUMMYFUNCTION("""COMPUTED_VALUE"""),3.0)</f>
        <v>3</v>
      </c>
      <c r="H347" s="26">
        <f>IFERROR(__xludf.DUMMYFUNCTION("""COMPUTED_VALUE"""),2.478)</f>
        <v>2.478</v>
      </c>
    </row>
    <row r="348">
      <c r="A348" s="26" t="str">
        <f>IFERROR(__xludf.DUMMYFUNCTION("""COMPUTED_VALUE"""),"US-2015-126214")</f>
        <v>US-2015-126214</v>
      </c>
      <c r="B348" s="27">
        <f>IFERROR(__xludf.DUMMYFUNCTION("""COMPUTED_VALUE"""),42359.0)</f>
        <v>42359</v>
      </c>
      <c r="C348" s="26" t="str">
        <f>IFERROR(__xludf.DUMMYFUNCTION("""COMPUTED_VALUE"""),"John Stevenson")</f>
        <v>John Stevenson</v>
      </c>
      <c r="D348" s="26" t="str">
        <f>IFERROR(__xludf.DUMMYFUNCTION("""COMPUTED_VALUE"""),"Consumer")</f>
        <v>Consumer</v>
      </c>
      <c r="E348" s="26" t="str">
        <f>IFERROR(__xludf.DUMMYFUNCTION("""COMPUTED_VALUE"""),"West")</f>
        <v>West</v>
      </c>
      <c r="F348" s="26">
        <f>IFERROR(__xludf.DUMMYFUNCTION("""COMPUTED_VALUE"""),1618.37)</f>
        <v>1618.37</v>
      </c>
      <c r="G348" s="26">
        <f>IFERROR(__xludf.DUMMYFUNCTION("""COMPUTED_VALUE"""),13.0)</f>
        <v>13</v>
      </c>
      <c r="H348" s="26">
        <f>IFERROR(__xludf.DUMMYFUNCTION("""COMPUTED_VALUE"""),356.0414)</f>
        <v>356.0414</v>
      </c>
    </row>
    <row r="349">
      <c r="A349" s="26" t="str">
        <f>IFERROR(__xludf.DUMMYFUNCTION("""COMPUTED_VALUE"""),"CA-2015-133025")</f>
        <v>CA-2015-133025</v>
      </c>
      <c r="B349" s="27">
        <f>IFERROR(__xludf.DUMMYFUNCTION("""COMPUTED_VALUE"""),42264.0)</f>
        <v>42264</v>
      </c>
      <c r="C349" s="26" t="str">
        <f>IFERROR(__xludf.DUMMYFUNCTION("""COMPUTED_VALUE"""),"Meg O'Connel")</f>
        <v>Meg O'Connel</v>
      </c>
      <c r="D349" s="26" t="str">
        <f>IFERROR(__xludf.DUMMYFUNCTION("""COMPUTED_VALUE"""),"Home Office")</f>
        <v>Home Office</v>
      </c>
      <c r="E349" s="26" t="str">
        <f>IFERROR(__xludf.DUMMYFUNCTION("""COMPUTED_VALUE"""),"West")</f>
        <v>West</v>
      </c>
      <c r="F349" s="26">
        <f>IFERROR(__xludf.DUMMYFUNCTION("""COMPUTED_VALUE"""),32.4)</f>
        <v>32.4</v>
      </c>
      <c r="G349" s="26">
        <f>IFERROR(__xludf.DUMMYFUNCTION("""COMPUTED_VALUE"""),5.0)</f>
        <v>5</v>
      </c>
      <c r="H349" s="26">
        <f>IFERROR(__xludf.DUMMYFUNCTION("""COMPUTED_VALUE"""),15.552)</f>
        <v>15.552</v>
      </c>
    </row>
    <row r="350">
      <c r="A350" s="26" t="str">
        <f>IFERROR(__xludf.DUMMYFUNCTION("""COMPUTED_VALUE"""),"CA-2015-127418")</f>
        <v>CA-2015-127418</v>
      </c>
      <c r="B350" s="27">
        <f>IFERROR(__xludf.DUMMYFUNCTION("""COMPUTED_VALUE"""),42168.0)</f>
        <v>42168</v>
      </c>
      <c r="C350" s="26" t="str">
        <f>IFERROR(__xludf.DUMMYFUNCTION("""COMPUTED_VALUE"""),"Jennifer Jackson")</f>
        <v>Jennifer Jackson</v>
      </c>
      <c r="D350" s="26" t="str">
        <f>IFERROR(__xludf.DUMMYFUNCTION("""COMPUTED_VALUE"""),"Consumer")</f>
        <v>Consumer</v>
      </c>
      <c r="E350" s="26" t="str">
        <f>IFERROR(__xludf.DUMMYFUNCTION("""COMPUTED_VALUE"""),"West")</f>
        <v>West</v>
      </c>
      <c r="F350" s="26">
        <f>IFERROR(__xludf.DUMMYFUNCTION("""COMPUTED_VALUE"""),36.624)</f>
        <v>36.624</v>
      </c>
      <c r="G350" s="26">
        <f>IFERROR(__xludf.DUMMYFUNCTION("""COMPUTED_VALUE"""),3.0)</f>
        <v>3</v>
      </c>
      <c r="H350" s="26">
        <f>IFERROR(__xludf.DUMMYFUNCTION("""COMPUTED_VALUE"""),13.734)</f>
        <v>13.734</v>
      </c>
    </row>
    <row r="351">
      <c r="A351" s="26" t="str">
        <f>IFERROR(__xludf.DUMMYFUNCTION("""COMPUTED_VALUE"""),"CA-2015-144652")</f>
        <v>CA-2015-144652</v>
      </c>
      <c r="B351" s="27">
        <f>IFERROR(__xludf.DUMMYFUNCTION("""COMPUTED_VALUE"""),42328.0)</f>
        <v>42328</v>
      </c>
      <c r="C351" s="26" t="str">
        <f>IFERROR(__xludf.DUMMYFUNCTION("""COMPUTED_VALUE"""),"Skye Norling")</f>
        <v>Skye Norling</v>
      </c>
      <c r="D351" s="26" t="str">
        <f>IFERROR(__xludf.DUMMYFUNCTION("""COMPUTED_VALUE"""),"Home Office")</f>
        <v>Home Office</v>
      </c>
      <c r="E351" s="26" t="str">
        <f>IFERROR(__xludf.DUMMYFUNCTION("""COMPUTED_VALUE"""),"West")</f>
        <v>West</v>
      </c>
      <c r="F351" s="26">
        <f>IFERROR(__xludf.DUMMYFUNCTION("""COMPUTED_VALUE"""),19.46)</f>
        <v>19.46</v>
      </c>
      <c r="G351" s="26">
        <f>IFERROR(__xludf.DUMMYFUNCTION("""COMPUTED_VALUE"""),7.0)</f>
        <v>7</v>
      </c>
      <c r="H351" s="26">
        <f>IFERROR(__xludf.DUMMYFUNCTION("""COMPUTED_VALUE"""),5.0596)</f>
        <v>5.0596</v>
      </c>
    </row>
    <row r="352">
      <c r="A352" s="26" t="str">
        <f>IFERROR(__xludf.DUMMYFUNCTION("""COMPUTED_VALUE"""),"CA-2015-143490")</f>
        <v>CA-2015-143490</v>
      </c>
      <c r="B352" s="27">
        <f>IFERROR(__xludf.DUMMYFUNCTION("""COMPUTED_VALUE"""),42344.0)</f>
        <v>42344</v>
      </c>
      <c r="C352" s="26" t="str">
        <f>IFERROR(__xludf.DUMMYFUNCTION("""COMPUTED_VALUE"""),"Naresj Patel")</f>
        <v>Naresj Patel</v>
      </c>
      <c r="D352" s="26" t="str">
        <f>IFERROR(__xludf.DUMMYFUNCTION("""COMPUTED_VALUE"""),"Consumer")</f>
        <v>Consumer</v>
      </c>
      <c r="E352" s="26" t="str">
        <f>IFERROR(__xludf.DUMMYFUNCTION("""COMPUTED_VALUE"""),"West")</f>
        <v>West</v>
      </c>
      <c r="F352" s="26">
        <f>IFERROR(__xludf.DUMMYFUNCTION("""COMPUTED_VALUE"""),120.15)</f>
        <v>120.15</v>
      </c>
      <c r="G352" s="26">
        <f>IFERROR(__xludf.DUMMYFUNCTION("""COMPUTED_VALUE"""),9.0)</f>
        <v>9</v>
      </c>
      <c r="H352" s="26">
        <f>IFERROR(__xludf.DUMMYFUNCTION("""COMPUTED_VALUE"""),33.642)</f>
        <v>33.642</v>
      </c>
    </row>
    <row r="353">
      <c r="A353" s="26" t="str">
        <f>IFERROR(__xludf.DUMMYFUNCTION("""COMPUTED_VALUE"""),"CA-2015-125416")</f>
        <v>CA-2015-125416</v>
      </c>
      <c r="B353" s="27">
        <f>IFERROR(__xludf.DUMMYFUNCTION("""COMPUTED_VALUE"""),42310.0)</f>
        <v>42310</v>
      </c>
      <c r="C353" s="26" t="str">
        <f>IFERROR(__xludf.DUMMYFUNCTION("""COMPUTED_VALUE"""),"Kelly Collister")</f>
        <v>Kelly Collister</v>
      </c>
      <c r="D353" s="26" t="str">
        <f>IFERROR(__xludf.DUMMYFUNCTION("""COMPUTED_VALUE"""),"Consumer")</f>
        <v>Consumer</v>
      </c>
      <c r="E353" s="26" t="str">
        <f>IFERROR(__xludf.DUMMYFUNCTION("""COMPUTED_VALUE"""),"West")</f>
        <v>West</v>
      </c>
      <c r="F353" s="26">
        <f>IFERROR(__xludf.DUMMYFUNCTION("""COMPUTED_VALUE"""),447.93)</f>
        <v>447.93</v>
      </c>
      <c r="G353" s="26">
        <f>IFERROR(__xludf.DUMMYFUNCTION("""COMPUTED_VALUE"""),9.0)</f>
        <v>9</v>
      </c>
      <c r="H353" s="26">
        <f>IFERROR(__xludf.DUMMYFUNCTION("""COMPUTED_VALUE"""),49.2723)</f>
        <v>49.2723</v>
      </c>
    </row>
    <row r="354">
      <c r="A354" s="26" t="str">
        <f>IFERROR(__xludf.DUMMYFUNCTION("""COMPUTED_VALUE"""),"CA-2015-101707")</f>
        <v>CA-2015-101707</v>
      </c>
      <c r="B354" s="27">
        <f>IFERROR(__xludf.DUMMYFUNCTION("""COMPUTED_VALUE"""),42243.0)</f>
        <v>42243</v>
      </c>
      <c r="C354" s="26" t="str">
        <f>IFERROR(__xludf.DUMMYFUNCTION("""COMPUTED_VALUE"""),"Philip Fox")</f>
        <v>Philip Fox</v>
      </c>
      <c r="D354" s="26" t="str">
        <f>IFERROR(__xludf.DUMMYFUNCTION("""COMPUTED_VALUE"""),"Consumer")</f>
        <v>Consumer</v>
      </c>
      <c r="E354" s="26" t="str">
        <f>IFERROR(__xludf.DUMMYFUNCTION("""COMPUTED_VALUE"""),"West")</f>
        <v>West</v>
      </c>
      <c r="F354" s="26">
        <f>IFERROR(__xludf.DUMMYFUNCTION("""COMPUTED_VALUE"""),32.94)</f>
        <v>32.94</v>
      </c>
      <c r="G354" s="26">
        <f>IFERROR(__xludf.DUMMYFUNCTION("""COMPUTED_VALUE"""),3.0)</f>
        <v>3</v>
      </c>
      <c r="H354" s="26">
        <f>IFERROR(__xludf.DUMMYFUNCTION("""COMPUTED_VALUE"""),9.2232)</f>
        <v>9.2232</v>
      </c>
    </row>
    <row r="355">
      <c r="A355" s="26" t="str">
        <f>IFERROR(__xludf.DUMMYFUNCTION("""COMPUTED_VALUE"""),"CA-2015-138898")</f>
        <v>CA-2015-138898</v>
      </c>
      <c r="B355" s="27">
        <f>IFERROR(__xludf.DUMMYFUNCTION("""COMPUTED_VALUE"""),42149.0)</f>
        <v>42149</v>
      </c>
      <c r="C355" s="26" t="str">
        <f>IFERROR(__xludf.DUMMYFUNCTION("""COMPUTED_VALUE"""),"Justin Hirsh")</f>
        <v>Justin Hirsh</v>
      </c>
      <c r="D355" s="26" t="str">
        <f>IFERROR(__xludf.DUMMYFUNCTION("""COMPUTED_VALUE"""),"Consumer")</f>
        <v>Consumer</v>
      </c>
      <c r="E355" s="26" t="str">
        <f>IFERROR(__xludf.DUMMYFUNCTION("""COMPUTED_VALUE"""),"West")</f>
        <v>West</v>
      </c>
      <c r="F355" s="26">
        <f>IFERROR(__xludf.DUMMYFUNCTION("""COMPUTED_VALUE"""),845.728)</f>
        <v>845.728</v>
      </c>
      <c r="G355" s="26">
        <f>IFERROR(__xludf.DUMMYFUNCTION("""COMPUTED_VALUE"""),13.0)</f>
        <v>13</v>
      </c>
      <c r="H355" s="26">
        <f>IFERROR(__xludf.DUMMYFUNCTION("""COMPUTED_VALUE"""),84.5728)</f>
        <v>84.5728</v>
      </c>
    </row>
    <row r="356">
      <c r="A356" s="26" t="str">
        <f>IFERROR(__xludf.DUMMYFUNCTION("""COMPUTED_VALUE"""),"CA-2015-121391")</f>
        <v>CA-2015-121391</v>
      </c>
      <c r="B356" s="27">
        <f>IFERROR(__xludf.DUMMYFUNCTION("""COMPUTED_VALUE"""),42281.0)</f>
        <v>42281</v>
      </c>
      <c r="C356" s="26" t="str">
        <f>IFERROR(__xludf.DUMMYFUNCTION("""COMPUTED_VALUE"""),"Alex Avila")</f>
        <v>Alex Avila</v>
      </c>
      <c r="D356" s="26" t="str">
        <f>IFERROR(__xludf.DUMMYFUNCTION("""COMPUTED_VALUE"""),"Consumer")</f>
        <v>Consumer</v>
      </c>
      <c r="E356" s="26" t="str">
        <f>IFERROR(__xludf.DUMMYFUNCTION("""COMPUTED_VALUE"""),"West")</f>
        <v>West</v>
      </c>
      <c r="F356" s="26">
        <f>IFERROR(__xludf.DUMMYFUNCTION("""COMPUTED_VALUE"""),26.96)</f>
        <v>26.96</v>
      </c>
      <c r="G356" s="26">
        <f>IFERROR(__xludf.DUMMYFUNCTION("""COMPUTED_VALUE"""),2.0)</f>
        <v>2</v>
      </c>
      <c r="H356" s="26">
        <f>IFERROR(__xludf.DUMMYFUNCTION("""COMPUTED_VALUE"""),7.0096)</f>
        <v>7.0096</v>
      </c>
    </row>
    <row r="357">
      <c r="A357" s="26" t="str">
        <f>IFERROR(__xludf.DUMMYFUNCTION("""COMPUTED_VALUE"""),"US-2015-103471")</f>
        <v>US-2015-103471</v>
      </c>
      <c r="B357" s="27">
        <f>IFERROR(__xludf.DUMMYFUNCTION("""COMPUTED_VALUE"""),42362.0)</f>
        <v>42362</v>
      </c>
      <c r="C357" s="26" t="str">
        <f>IFERROR(__xludf.DUMMYFUNCTION("""COMPUTED_VALUE"""),"Jim Radford")</f>
        <v>Jim Radford</v>
      </c>
      <c r="D357" s="26" t="str">
        <f>IFERROR(__xludf.DUMMYFUNCTION("""COMPUTED_VALUE"""),"Consumer")</f>
        <v>Consumer</v>
      </c>
      <c r="E357" s="26" t="str">
        <f>IFERROR(__xludf.DUMMYFUNCTION("""COMPUTED_VALUE"""),"West")</f>
        <v>West</v>
      </c>
      <c r="F357" s="26">
        <f>IFERROR(__xludf.DUMMYFUNCTION("""COMPUTED_VALUE"""),590.058)</f>
        <v>590.058</v>
      </c>
      <c r="G357" s="26">
        <f>IFERROR(__xludf.DUMMYFUNCTION("""COMPUTED_VALUE"""),7.0)</f>
        <v>7</v>
      </c>
      <c r="H357" s="26">
        <f>IFERROR(__xludf.DUMMYFUNCTION("""COMPUTED_VALUE"""),-786.744)</f>
        <v>-786.744</v>
      </c>
    </row>
    <row r="358">
      <c r="A358" s="26" t="str">
        <f>IFERROR(__xludf.DUMMYFUNCTION("""COMPUTED_VALUE"""),"CA-2015-120362")</f>
        <v>CA-2015-120362</v>
      </c>
      <c r="B358" s="27">
        <f>IFERROR(__xludf.DUMMYFUNCTION("""COMPUTED_VALUE"""),42261.0)</f>
        <v>42261</v>
      </c>
      <c r="C358" s="26" t="str">
        <f>IFERROR(__xludf.DUMMYFUNCTION("""COMPUTED_VALUE"""),"Christina Anderson")</f>
        <v>Christina Anderson</v>
      </c>
      <c r="D358" s="26" t="str">
        <f>IFERROR(__xludf.DUMMYFUNCTION("""COMPUTED_VALUE"""),"Consumer")</f>
        <v>Consumer</v>
      </c>
      <c r="E358" s="26" t="str">
        <f>IFERROR(__xludf.DUMMYFUNCTION("""COMPUTED_VALUE"""),"West")</f>
        <v>West</v>
      </c>
      <c r="F358" s="26">
        <f>IFERROR(__xludf.DUMMYFUNCTION("""COMPUTED_VALUE"""),912.75)</f>
        <v>912.75</v>
      </c>
      <c r="G358" s="26">
        <f>IFERROR(__xludf.DUMMYFUNCTION("""COMPUTED_VALUE"""),5.0)</f>
        <v>5</v>
      </c>
      <c r="H358" s="26">
        <f>IFERROR(__xludf.DUMMYFUNCTION("""COMPUTED_VALUE"""),118.6575)</f>
        <v>118.6575</v>
      </c>
    </row>
    <row r="359">
      <c r="A359" s="26" t="str">
        <f>IFERROR(__xludf.DUMMYFUNCTION("""COMPUTED_VALUE"""),"CA-2015-124800")</f>
        <v>CA-2015-124800</v>
      </c>
      <c r="B359" s="27">
        <f>IFERROR(__xludf.DUMMYFUNCTION("""COMPUTED_VALUE"""),42273.0)</f>
        <v>42273</v>
      </c>
      <c r="C359" s="26" t="str">
        <f>IFERROR(__xludf.DUMMYFUNCTION("""COMPUTED_VALUE"""),"Rick Wilson")</f>
        <v>Rick Wilson</v>
      </c>
      <c r="D359" s="26" t="str">
        <f>IFERROR(__xludf.DUMMYFUNCTION("""COMPUTED_VALUE"""),"Corporate")</f>
        <v>Corporate</v>
      </c>
      <c r="E359" s="26" t="str">
        <f>IFERROR(__xludf.DUMMYFUNCTION("""COMPUTED_VALUE"""),"West")</f>
        <v>West</v>
      </c>
      <c r="F359" s="26">
        <f>IFERROR(__xludf.DUMMYFUNCTION("""COMPUTED_VALUE"""),86.272)</f>
        <v>86.272</v>
      </c>
      <c r="G359" s="26">
        <f>IFERROR(__xludf.DUMMYFUNCTION("""COMPUTED_VALUE"""),4.0)</f>
        <v>4</v>
      </c>
      <c r="H359" s="26">
        <f>IFERROR(__xludf.DUMMYFUNCTION("""COMPUTED_VALUE"""),31.2736)</f>
        <v>31.2736</v>
      </c>
    </row>
    <row r="360">
      <c r="A360" s="26" t="str">
        <f>IFERROR(__xludf.DUMMYFUNCTION("""COMPUTED_VALUE"""),"US-2015-164448")</f>
        <v>US-2015-164448</v>
      </c>
      <c r="B360" s="27">
        <f>IFERROR(__xludf.DUMMYFUNCTION("""COMPUTED_VALUE"""),42308.0)</f>
        <v>42308</v>
      </c>
      <c r="C360" s="26" t="str">
        <f>IFERROR(__xludf.DUMMYFUNCTION("""COMPUTED_VALUE"""),"Damala Kotsonis")</f>
        <v>Damala Kotsonis</v>
      </c>
      <c r="D360" s="26" t="str">
        <f>IFERROR(__xludf.DUMMYFUNCTION("""COMPUTED_VALUE"""),"Corporate")</f>
        <v>Corporate</v>
      </c>
      <c r="E360" s="26" t="str">
        <f>IFERROR(__xludf.DUMMYFUNCTION("""COMPUTED_VALUE"""),"West")</f>
        <v>West</v>
      </c>
      <c r="F360" s="26">
        <f>IFERROR(__xludf.DUMMYFUNCTION("""COMPUTED_VALUE"""),9.728)</f>
        <v>9.728</v>
      </c>
      <c r="G360" s="26">
        <f>IFERROR(__xludf.DUMMYFUNCTION("""COMPUTED_VALUE"""),2.0)</f>
        <v>2</v>
      </c>
      <c r="H360" s="26">
        <f>IFERROR(__xludf.DUMMYFUNCTION("""COMPUTED_VALUE"""),3.2832)</f>
        <v>3.2832</v>
      </c>
    </row>
    <row r="361">
      <c r="A361" s="26" t="str">
        <f>IFERROR(__xludf.DUMMYFUNCTION("""COMPUTED_VALUE"""),"CA-2015-166135")</f>
        <v>CA-2015-166135</v>
      </c>
      <c r="B361" s="27">
        <f>IFERROR(__xludf.DUMMYFUNCTION("""COMPUTED_VALUE"""),42278.0)</f>
        <v>42278</v>
      </c>
      <c r="C361" s="26" t="str">
        <f>IFERROR(__xludf.DUMMYFUNCTION("""COMPUTED_VALUE"""),"Shaun Chance")</f>
        <v>Shaun Chance</v>
      </c>
      <c r="D361" s="26" t="str">
        <f>IFERROR(__xludf.DUMMYFUNCTION("""COMPUTED_VALUE"""),"Corporate")</f>
        <v>Corporate</v>
      </c>
      <c r="E361" s="26" t="str">
        <f>IFERROR(__xludf.DUMMYFUNCTION("""COMPUTED_VALUE"""),"West")</f>
        <v>West</v>
      </c>
      <c r="F361" s="26">
        <f>IFERROR(__xludf.DUMMYFUNCTION("""COMPUTED_VALUE"""),139.424)</f>
        <v>139.424</v>
      </c>
      <c r="G361" s="26">
        <f>IFERROR(__xludf.DUMMYFUNCTION("""COMPUTED_VALUE"""),4.0)</f>
        <v>4</v>
      </c>
      <c r="H361" s="26">
        <f>IFERROR(__xludf.DUMMYFUNCTION("""COMPUTED_VALUE"""),17.428)</f>
        <v>17.428</v>
      </c>
    </row>
    <row r="362">
      <c r="A362" s="26" t="str">
        <f>IFERROR(__xludf.DUMMYFUNCTION("""COMPUTED_VALUE"""),"CA-2015-145821")</f>
        <v>CA-2015-145821</v>
      </c>
      <c r="B362" s="27">
        <f>IFERROR(__xludf.DUMMYFUNCTION("""COMPUTED_VALUE"""),42125.0)</f>
        <v>42125</v>
      </c>
      <c r="C362" s="26" t="str">
        <f>IFERROR(__xludf.DUMMYFUNCTION("""COMPUTED_VALUE"""),"Jennifer Braxton")</f>
        <v>Jennifer Braxton</v>
      </c>
      <c r="D362" s="26" t="str">
        <f>IFERROR(__xludf.DUMMYFUNCTION("""COMPUTED_VALUE"""),"Corporate")</f>
        <v>Corporate</v>
      </c>
      <c r="E362" s="26" t="str">
        <f>IFERROR(__xludf.DUMMYFUNCTION("""COMPUTED_VALUE"""),"West")</f>
        <v>West</v>
      </c>
      <c r="F362" s="26">
        <f>IFERROR(__xludf.DUMMYFUNCTION("""COMPUTED_VALUE"""),88.752)</f>
        <v>88.752</v>
      </c>
      <c r="G362" s="26">
        <f>IFERROR(__xludf.DUMMYFUNCTION("""COMPUTED_VALUE"""),3.0)</f>
        <v>3</v>
      </c>
      <c r="H362" s="26">
        <f>IFERROR(__xludf.DUMMYFUNCTION("""COMPUTED_VALUE"""),11.094)</f>
        <v>11.094</v>
      </c>
    </row>
    <row r="363">
      <c r="A363" s="26" t="str">
        <f>IFERROR(__xludf.DUMMYFUNCTION("""COMPUTED_VALUE"""),"US-2015-160150")</f>
        <v>US-2015-160150</v>
      </c>
      <c r="B363" s="27">
        <f>IFERROR(__xludf.DUMMYFUNCTION("""COMPUTED_VALUE"""),42204.0)</f>
        <v>42204</v>
      </c>
      <c r="C363" s="26" t="str">
        <f>IFERROR(__xludf.DUMMYFUNCTION("""COMPUTED_VALUE"""),"Thais Sissman")</f>
        <v>Thais Sissman</v>
      </c>
      <c r="D363" s="26" t="str">
        <f>IFERROR(__xludf.DUMMYFUNCTION("""COMPUTED_VALUE"""),"Consumer")</f>
        <v>Consumer</v>
      </c>
      <c r="E363" s="26" t="str">
        <f>IFERROR(__xludf.DUMMYFUNCTION("""COMPUTED_VALUE"""),"West")</f>
        <v>West</v>
      </c>
      <c r="F363" s="26">
        <f>IFERROR(__xludf.DUMMYFUNCTION("""COMPUTED_VALUE"""),2.025)</f>
        <v>2.025</v>
      </c>
      <c r="G363" s="26">
        <f>IFERROR(__xludf.DUMMYFUNCTION("""COMPUTED_VALUE"""),1.0)</f>
        <v>1</v>
      </c>
      <c r="H363" s="26">
        <f>IFERROR(__xludf.DUMMYFUNCTION("""COMPUTED_VALUE"""),-1.35)</f>
        <v>-1.35</v>
      </c>
    </row>
    <row r="364">
      <c r="A364" s="26" t="str">
        <f>IFERROR(__xludf.DUMMYFUNCTION("""COMPUTED_VALUE"""),"CA-2015-119907")</f>
        <v>CA-2015-119907</v>
      </c>
      <c r="B364" s="27">
        <f>IFERROR(__xludf.DUMMYFUNCTION("""COMPUTED_VALUE"""),42339.0)</f>
        <v>42339</v>
      </c>
      <c r="C364" s="26" t="str">
        <f>IFERROR(__xludf.DUMMYFUNCTION("""COMPUTED_VALUE"""),"Logan Currie")</f>
        <v>Logan Currie</v>
      </c>
      <c r="D364" s="26" t="str">
        <f>IFERROR(__xludf.DUMMYFUNCTION("""COMPUTED_VALUE"""),"Consumer")</f>
        <v>Consumer</v>
      </c>
      <c r="E364" s="26" t="str">
        <f>IFERROR(__xludf.DUMMYFUNCTION("""COMPUTED_VALUE"""),"West")</f>
        <v>West</v>
      </c>
      <c r="F364" s="26">
        <f>IFERROR(__xludf.DUMMYFUNCTION("""COMPUTED_VALUE"""),55.424)</f>
        <v>55.424</v>
      </c>
      <c r="G364" s="26">
        <f>IFERROR(__xludf.DUMMYFUNCTION("""COMPUTED_VALUE"""),2.0)</f>
        <v>2</v>
      </c>
      <c r="H364" s="26">
        <f>IFERROR(__xludf.DUMMYFUNCTION("""COMPUTED_VALUE"""),19.3984)</f>
        <v>19.3984</v>
      </c>
    </row>
    <row r="365">
      <c r="A365" s="26" t="str">
        <f>IFERROR(__xludf.DUMMYFUNCTION("""COMPUTED_VALUE"""),"CA-2015-140410")</f>
        <v>CA-2015-140410</v>
      </c>
      <c r="B365" s="27">
        <f>IFERROR(__xludf.DUMMYFUNCTION("""COMPUTED_VALUE"""),42311.0)</f>
        <v>42311</v>
      </c>
      <c r="C365" s="26" t="str">
        <f>IFERROR(__xludf.DUMMYFUNCTION("""COMPUTED_VALUE"""),"Corinna Mitchell")</f>
        <v>Corinna Mitchell</v>
      </c>
      <c r="D365" s="26" t="str">
        <f>IFERROR(__xludf.DUMMYFUNCTION("""COMPUTED_VALUE"""),"Home Office")</f>
        <v>Home Office</v>
      </c>
      <c r="E365" s="26" t="str">
        <f>IFERROR(__xludf.DUMMYFUNCTION("""COMPUTED_VALUE"""),"West")</f>
        <v>West</v>
      </c>
      <c r="F365" s="26">
        <f>IFERROR(__xludf.DUMMYFUNCTION("""COMPUTED_VALUE"""),1212.848)</f>
        <v>1212.848</v>
      </c>
      <c r="G365" s="26">
        <f>IFERROR(__xludf.DUMMYFUNCTION("""COMPUTED_VALUE"""),7.0)</f>
        <v>7</v>
      </c>
      <c r="H365" s="26">
        <f>IFERROR(__xludf.DUMMYFUNCTION("""COMPUTED_VALUE"""),106.1242)</f>
        <v>106.1242</v>
      </c>
    </row>
    <row r="366">
      <c r="A366" s="26" t="str">
        <f>IFERROR(__xludf.DUMMYFUNCTION("""COMPUTED_VALUE"""),"CA-2015-153388")</f>
        <v>CA-2015-153388</v>
      </c>
      <c r="B366" s="27">
        <f>IFERROR(__xludf.DUMMYFUNCTION("""COMPUTED_VALUE"""),42217.0)</f>
        <v>42217</v>
      </c>
      <c r="C366" s="26" t="str">
        <f>IFERROR(__xludf.DUMMYFUNCTION("""COMPUTED_VALUE"""),"Pauline Chand")</f>
        <v>Pauline Chand</v>
      </c>
      <c r="D366" s="26" t="str">
        <f>IFERROR(__xludf.DUMMYFUNCTION("""COMPUTED_VALUE"""),"Home Office")</f>
        <v>Home Office</v>
      </c>
      <c r="E366" s="26" t="str">
        <f>IFERROR(__xludf.DUMMYFUNCTION("""COMPUTED_VALUE"""),"West")</f>
        <v>West</v>
      </c>
      <c r="F366" s="26">
        <f>IFERROR(__xludf.DUMMYFUNCTION("""COMPUTED_VALUE"""),6.72)</f>
        <v>6.72</v>
      </c>
      <c r="G366" s="26">
        <f>IFERROR(__xludf.DUMMYFUNCTION("""COMPUTED_VALUE"""),4.0)</f>
        <v>4</v>
      </c>
      <c r="H366" s="26">
        <f>IFERROR(__xludf.DUMMYFUNCTION("""COMPUTED_VALUE"""),3.36)</f>
        <v>3.36</v>
      </c>
    </row>
    <row r="367">
      <c r="A367" s="26" t="str">
        <f>IFERROR(__xludf.DUMMYFUNCTION("""COMPUTED_VALUE"""),"CA-2015-144806")</f>
        <v>CA-2015-144806</v>
      </c>
      <c r="B367" s="27">
        <f>IFERROR(__xludf.DUMMYFUNCTION("""COMPUTED_VALUE"""),42344.0)</f>
        <v>42344</v>
      </c>
      <c r="C367" s="26" t="str">
        <f>IFERROR(__xludf.DUMMYFUNCTION("""COMPUTED_VALUE"""),"Gary Hwang")</f>
        <v>Gary Hwang</v>
      </c>
      <c r="D367" s="26" t="str">
        <f>IFERROR(__xludf.DUMMYFUNCTION("""COMPUTED_VALUE"""),"Consumer")</f>
        <v>Consumer</v>
      </c>
      <c r="E367" s="26" t="str">
        <f>IFERROR(__xludf.DUMMYFUNCTION("""COMPUTED_VALUE"""),"West")</f>
        <v>West</v>
      </c>
      <c r="F367" s="26">
        <f>IFERROR(__xludf.DUMMYFUNCTION("""COMPUTED_VALUE"""),206.112)</f>
        <v>206.112</v>
      </c>
      <c r="G367" s="26">
        <f>IFERROR(__xludf.DUMMYFUNCTION("""COMPUTED_VALUE"""),6.0)</f>
        <v>6</v>
      </c>
      <c r="H367" s="26">
        <f>IFERROR(__xludf.DUMMYFUNCTION("""COMPUTED_VALUE"""),48.9516)</f>
        <v>48.9516</v>
      </c>
    </row>
    <row r="368">
      <c r="A368" s="26" t="str">
        <f>IFERROR(__xludf.DUMMYFUNCTION("""COMPUTED_VALUE"""),"CA-2015-111507")</f>
        <v>CA-2015-111507</v>
      </c>
      <c r="B368" s="27">
        <f>IFERROR(__xludf.DUMMYFUNCTION("""COMPUTED_VALUE"""),42041.0)</f>
        <v>42041</v>
      </c>
      <c r="C368" s="26" t="str">
        <f>IFERROR(__xludf.DUMMYFUNCTION("""COMPUTED_VALUE"""),"Victoria Wilson")</f>
        <v>Victoria Wilson</v>
      </c>
      <c r="D368" s="26" t="str">
        <f>IFERROR(__xludf.DUMMYFUNCTION("""COMPUTED_VALUE"""),"Corporate")</f>
        <v>Corporate</v>
      </c>
      <c r="E368" s="26" t="str">
        <f>IFERROR(__xludf.DUMMYFUNCTION("""COMPUTED_VALUE"""),"West")</f>
        <v>West</v>
      </c>
      <c r="F368" s="26">
        <f>IFERROR(__xludf.DUMMYFUNCTION("""COMPUTED_VALUE"""),5.28)</f>
        <v>5.28</v>
      </c>
      <c r="G368" s="26">
        <f>IFERROR(__xludf.DUMMYFUNCTION("""COMPUTED_VALUE"""),3.0)</f>
        <v>3</v>
      </c>
      <c r="H368" s="26">
        <f>IFERROR(__xludf.DUMMYFUNCTION("""COMPUTED_VALUE"""),1.5312)</f>
        <v>1.5312</v>
      </c>
    </row>
    <row r="369">
      <c r="A369" s="26" t="str">
        <f>IFERROR(__xludf.DUMMYFUNCTION("""COMPUTED_VALUE"""),"CA-2015-112116")</f>
        <v>CA-2015-112116</v>
      </c>
      <c r="B369" s="27">
        <f>IFERROR(__xludf.DUMMYFUNCTION("""COMPUTED_VALUE"""),42079.0)</f>
        <v>42079</v>
      </c>
      <c r="C369" s="26" t="str">
        <f>IFERROR(__xludf.DUMMYFUNCTION("""COMPUTED_VALUE"""),"Jeremy Ellison")</f>
        <v>Jeremy Ellison</v>
      </c>
      <c r="D369" s="26" t="str">
        <f>IFERROR(__xludf.DUMMYFUNCTION("""COMPUTED_VALUE"""),"Consumer")</f>
        <v>Consumer</v>
      </c>
      <c r="E369" s="26" t="str">
        <f>IFERROR(__xludf.DUMMYFUNCTION("""COMPUTED_VALUE"""),"West")</f>
        <v>West</v>
      </c>
      <c r="F369" s="26">
        <f>IFERROR(__xludf.DUMMYFUNCTION("""COMPUTED_VALUE"""),171.96)</f>
        <v>171.96</v>
      </c>
      <c r="G369" s="26">
        <f>IFERROR(__xludf.DUMMYFUNCTION("""COMPUTED_VALUE"""),2.0)</f>
        <v>2</v>
      </c>
      <c r="H369" s="26">
        <f>IFERROR(__xludf.DUMMYFUNCTION("""COMPUTED_VALUE"""),44.7096)</f>
        <v>44.7096</v>
      </c>
    </row>
    <row r="370">
      <c r="A370" s="26" t="str">
        <f>IFERROR(__xludf.DUMMYFUNCTION("""COMPUTED_VALUE"""),"CA-2015-132101")</f>
        <v>CA-2015-132101</v>
      </c>
      <c r="B370" s="27">
        <f>IFERROR(__xludf.DUMMYFUNCTION("""COMPUTED_VALUE"""),42082.0)</f>
        <v>42082</v>
      </c>
      <c r="C370" s="26" t="str">
        <f>IFERROR(__xludf.DUMMYFUNCTION("""COMPUTED_VALUE"""),"Jesus Ocampo")</f>
        <v>Jesus Ocampo</v>
      </c>
      <c r="D370" s="26" t="str">
        <f>IFERROR(__xludf.DUMMYFUNCTION("""COMPUTED_VALUE"""),"Home Office")</f>
        <v>Home Office</v>
      </c>
      <c r="E370" s="26" t="str">
        <f>IFERROR(__xludf.DUMMYFUNCTION("""COMPUTED_VALUE"""),"West")</f>
        <v>West</v>
      </c>
      <c r="F370" s="26">
        <f>IFERROR(__xludf.DUMMYFUNCTION("""COMPUTED_VALUE"""),453.576)</f>
        <v>453.576</v>
      </c>
      <c r="G370" s="26">
        <f>IFERROR(__xludf.DUMMYFUNCTION("""COMPUTED_VALUE"""),3.0)</f>
        <v>3</v>
      </c>
      <c r="H370" s="26">
        <f>IFERROR(__xludf.DUMMYFUNCTION("""COMPUTED_VALUE"""),39.6879)</f>
        <v>39.6879</v>
      </c>
    </row>
    <row r="371">
      <c r="A371" s="26" t="str">
        <f>IFERROR(__xludf.DUMMYFUNCTION("""COMPUTED_VALUE"""),"CA-2015-122826")</f>
        <v>CA-2015-122826</v>
      </c>
      <c r="B371" s="27">
        <f>IFERROR(__xludf.DUMMYFUNCTION("""COMPUTED_VALUE"""),42178.0)</f>
        <v>42178</v>
      </c>
      <c r="C371" s="26" t="str">
        <f>IFERROR(__xludf.DUMMYFUNCTION("""COMPUTED_VALUE"""),"Rick Duston")</f>
        <v>Rick Duston</v>
      </c>
      <c r="D371" s="26" t="str">
        <f>IFERROR(__xludf.DUMMYFUNCTION("""COMPUTED_VALUE"""),"Consumer")</f>
        <v>Consumer</v>
      </c>
      <c r="E371" s="26" t="str">
        <f>IFERROR(__xludf.DUMMYFUNCTION("""COMPUTED_VALUE"""),"West")</f>
        <v>West</v>
      </c>
      <c r="F371" s="26">
        <f>IFERROR(__xludf.DUMMYFUNCTION("""COMPUTED_VALUE"""),201.568)</f>
        <v>201.568</v>
      </c>
      <c r="G371" s="26">
        <f>IFERROR(__xludf.DUMMYFUNCTION("""COMPUTED_VALUE"""),4.0)</f>
        <v>4</v>
      </c>
      <c r="H371" s="26">
        <f>IFERROR(__xludf.DUMMYFUNCTION("""COMPUTED_VALUE"""),22.6764)</f>
        <v>22.6764</v>
      </c>
    </row>
    <row r="372">
      <c r="A372" s="26" t="str">
        <f>IFERROR(__xludf.DUMMYFUNCTION("""COMPUTED_VALUE"""),"CA-2015-157084")</f>
        <v>CA-2015-157084</v>
      </c>
      <c r="B372" s="27">
        <f>IFERROR(__xludf.DUMMYFUNCTION("""COMPUTED_VALUE"""),42357.0)</f>
        <v>42357</v>
      </c>
      <c r="C372" s="26" t="str">
        <f>IFERROR(__xludf.DUMMYFUNCTION("""COMPUTED_VALUE"""),"James Galang")</f>
        <v>James Galang</v>
      </c>
      <c r="D372" s="26" t="str">
        <f>IFERROR(__xludf.DUMMYFUNCTION("""COMPUTED_VALUE"""),"Consumer")</f>
        <v>Consumer</v>
      </c>
      <c r="E372" s="26" t="str">
        <f>IFERROR(__xludf.DUMMYFUNCTION("""COMPUTED_VALUE"""),"West")</f>
        <v>West</v>
      </c>
      <c r="F372" s="26">
        <f>IFERROR(__xludf.DUMMYFUNCTION("""COMPUTED_VALUE"""),675.96)</f>
        <v>675.96</v>
      </c>
      <c r="G372" s="26">
        <f>IFERROR(__xludf.DUMMYFUNCTION("""COMPUTED_VALUE"""),5.0)</f>
        <v>5</v>
      </c>
      <c r="H372" s="26">
        <f>IFERROR(__xludf.DUMMYFUNCTION("""COMPUTED_VALUE"""),84.495)</f>
        <v>84.495</v>
      </c>
    </row>
    <row r="373">
      <c r="A373" s="26" t="str">
        <f>IFERROR(__xludf.DUMMYFUNCTION("""COMPUTED_VALUE"""),"CA-2015-111829")</f>
        <v>CA-2015-111829</v>
      </c>
      <c r="B373" s="27">
        <f>IFERROR(__xludf.DUMMYFUNCTION("""COMPUTED_VALUE"""),42082.0)</f>
        <v>42082</v>
      </c>
      <c r="C373" s="26" t="str">
        <f>IFERROR(__xludf.DUMMYFUNCTION("""COMPUTED_VALUE"""),"Fred Hopkins")</f>
        <v>Fred Hopkins</v>
      </c>
      <c r="D373" s="26" t="str">
        <f>IFERROR(__xludf.DUMMYFUNCTION("""COMPUTED_VALUE"""),"Corporate")</f>
        <v>Corporate</v>
      </c>
      <c r="E373" s="26" t="str">
        <f>IFERROR(__xludf.DUMMYFUNCTION("""COMPUTED_VALUE"""),"West")</f>
        <v>West</v>
      </c>
      <c r="F373" s="26">
        <f>IFERROR(__xludf.DUMMYFUNCTION("""COMPUTED_VALUE"""),1247.64)</f>
        <v>1247.64</v>
      </c>
      <c r="G373" s="26">
        <f>IFERROR(__xludf.DUMMYFUNCTION("""COMPUTED_VALUE"""),3.0)</f>
        <v>3</v>
      </c>
      <c r="H373" s="26">
        <f>IFERROR(__xludf.DUMMYFUNCTION("""COMPUTED_VALUE"""),349.3392)</f>
        <v>349.3392</v>
      </c>
    </row>
    <row r="374">
      <c r="A374" s="26" t="str">
        <f>IFERROR(__xludf.DUMMYFUNCTION("""COMPUTED_VALUE"""),"CA-2015-148376")</f>
        <v>CA-2015-148376</v>
      </c>
      <c r="B374" s="27">
        <f>IFERROR(__xludf.DUMMYFUNCTION("""COMPUTED_VALUE"""),42365.0)</f>
        <v>42365</v>
      </c>
      <c r="C374" s="26" t="str">
        <f>IFERROR(__xludf.DUMMYFUNCTION("""COMPUTED_VALUE"""),"Arthur Gainer")</f>
        <v>Arthur Gainer</v>
      </c>
      <c r="D374" s="26" t="str">
        <f>IFERROR(__xludf.DUMMYFUNCTION("""COMPUTED_VALUE"""),"Consumer")</f>
        <v>Consumer</v>
      </c>
      <c r="E374" s="26" t="str">
        <f>IFERROR(__xludf.DUMMYFUNCTION("""COMPUTED_VALUE"""),"West")</f>
        <v>West</v>
      </c>
      <c r="F374" s="26">
        <f>IFERROR(__xludf.DUMMYFUNCTION("""COMPUTED_VALUE"""),106.96)</f>
        <v>106.96</v>
      </c>
      <c r="G374" s="26">
        <f>IFERROR(__xludf.DUMMYFUNCTION("""COMPUTED_VALUE"""),2.0)</f>
        <v>2</v>
      </c>
      <c r="H374" s="26">
        <f>IFERROR(__xludf.DUMMYFUNCTION("""COMPUTED_VALUE"""),31.0184)</f>
        <v>31.0184</v>
      </c>
    </row>
    <row r="375">
      <c r="A375" s="26" t="str">
        <f>IFERROR(__xludf.DUMMYFUNCTION("""COMPUTED_VALUE"""),"CA-2015-130204")</f>
        <v>CA-2015-130204</v>
      </c>
      <c r="B375" s="27">
        <f>IFERROR(__xludf.DUMMYFUNCTION("""COMPUTED_VALUE"""),42250.0)</f>
        <v>42250</v>
      </c>
      <c r="C375" s="26" t="str">
        <f>IFERROR(__xludf.DUMMYFUNCTION("""COMPUTED_VALUE"""),"David Bremer")</f>
        <v>David Bremer</v>
      </c>
      <c r="D375" s="26" t="str">
        <f>IFERROR(__xludf.DUMMYFUNCTION("""COMPUTED_VALUE"""),"Corporate")</f>
        <v>Corporate</v>
      </c>
      <c r="E375" s="26" t="str">
        <f>IFERROR(__xludf.DUMMYFUNCTION("""COMPUTED_VALUE"""),"West")</f>
        <v>West</v>
      </c>
      <c r="F375" s="26">
        <f>IFERROR(__xludf.DUMMYFUNCTION("""COMPUTED_VALUE"""),31.44)</f>
        <v>31.44</v>
      </c>
      <c r="G375" s="26">
        <f>IFERROR(__xludf.DUMMYFUNCTION("""COMPUTED_VALUE"""),3.0)</f>
        <v>3</v>
      </c>
      <c r="H375" s="26">
        <f>IFERROR(__xludf.DUMMYFUNCTION("""COMPUTED_VALUE"""),8.4888)</f>
        <v>8.4888</v>
      </c>
    </row>
    <row r="376">
      <c r="A376" s="26" t="str">
        <f>IFERROR(__xludf.DUMMYFUNCTION("""COMPUTED_VALUE"""),"CA-2015-130785")</f>
        <v>CA-2015-130785</v>
      </c>
      <c r="B376" s="27">
        <f>IFERROR(__xludf.DUMMYFUNCTION("""COMPUTED_VALUE"""),42252.0)</f>
        <v>42252</v>
      </c>
      <c r="C376" s="26" t="str">
        <f>IFERROR(__xludf.DUMMYFUNCTION("""COMPUTED_VALUE"""),"Arthur Gainer")</f>
        <v>Arthur Gainer</v>
      </c>
      <c r="D376" s="26" t="str">
        <f>IFERROR(__xludf.DUMMYFUNCTION("""COMPUTED_VALUE"""),"Consumer")</f>
        <v>Consumer</v>
      </c>
      <c r="E376" s="26" t="str">
        <f>IFERROR(__xludf.DUMMYFUNCTION("""COMPUTED_VALUE"""),"West")</f>
        <v>West</v>
      </c>
      <c r="F376" s="26">
        <f>IFERROR(__xludf.DUMMYFUNCTION("""COMPUTED_VALUE"""),411.332)</f>
        <v>411.332</v>
      </c>
      <c r="G376" s="26">
        <f>IFERROR(__xludf.DUMMYFUNCTION("""COMPUTED_VALUE"""),4.0)</f>
        <v>4</v>
      </c>
      <c r="H376" s="26">
        <f>IFERROR(__xludf.DUMMYFUNCTION("""COMPUTED_VALUE"""),-4.8392)</f>
        <v>-4.8392</v>
      </c>
    </row>
    <row r="377">
      <c r="A377" s="26" t="str">
        <f>IFERROR(__xludf.DUMMYFUNCTION("""COMPUTED_VALUE"""),"CA-2015-105347")</f>
        <v>CA-2015-105347</v>
      </c>
      <c r="B377" s="27">
        <f>IFERROR(__xludf.DUMMYFUNCTION("""COMPUTED_VALUE"""),42332.0)</f>
        <v>42332</v>
      </c>
      <c r="C377" s="26" t="str">
        <f>IFERROR(__xludf.DUMMYFUNCTION("""COMPUTED_VALUE"""),"Darren Powers")</f>
        <v>Darren Powers</v>
      </c>
      <c r="D377" s="26" t="str">
        <f>IFERROR(__xludf.DUMMYFUNCTION("""COMPUTED_VALUE"""),"Consumer")</f>
        <v>Consumer</v>
      </c>
      <c r="E377" s="26" t="str">
        <f>IFERROR(__xludf.DUMMYFUNCTION("""COMPUTED_VALUE"""),"West")</f>
        <v>West</v>
      </c>
      <c r="F377" s="26">
        <f>IFERROR(__xludf.DUMMYFUNCTION("""COMPUTED_VALUE"""),368.91)</f>
        <v>368.91</v>
      </c>
      <c r="G377" s="26">
        <f>IFERROR(__xludf.DUMMYFUNCTION("""COMPUTED_VALUE"""),9.0)</f>
        <v>9</v>
      </c>
      <c r="H377" s="26">
        <f>IFERROR(__xludf.DUMMYFUNCTION("""COMPUTED_VALUE"""),180.7659)</f>
        <v>180.7659</v>
      </c>
    </row>
    <row r="378">
      <c r="A378" s="26" t="str">
        <f>IFERROR(__xludf.DUMMYFUNCTION("""COMPUTED_VALUE"""),"CA-2015-131597")</f>
        <v>CA-2015-131597</v>
      </c>
      <c r="B378" s="27">
        <f>IFERROR(__xludf.DUMMYFUNCTION("""COMPUTED_VALUE"""),42261.0)</f>
        <v>42261</v>
      </c>
      <c r="C378" s="26" t="str">
        <f>IFERROR(__xludf.DUMMYFUNCTION("""COMPUTED_VALUE"""),"Stefania Perrino")</f>
        <v>Stefania Perrino</v>
      </c>
      <c r="D378" s="26" t="str">
        <f>IFERROR(__xludf.DUMMYFUNCTION("""COMPUTED_VALUE"""),"Corporate")</f>
        <v>Corporate</v>
      </c>
      <c r="E378" s="26" t="str">
        <f>IFERROR(__xludf.DUMMYFUNCTION("""COMPUTED_VALUE"""),"West")</f>
        <v>West</v>
      </c>
      <c r="F378" s="26">
        <f>IFERROR(__xludf.DUMMYFUNCTION("""COMPUTED_VALUE"""),170.136)</f>
        <v>170.136</v>
      </c>
      <c r="G378" s="26">
        <f>IFERROR(__xludf.DUMMYFUNCTION("""COMPUTED_VALUE"""),3.0)</f>
        <v>3</v>
      </c>
      <c r="H378" s="26">
        <f>IFERROR(__xludf.DUMMYFUNCTION("""COMPUTED_VALUE"""),-8.5068)</f>
        <v>-8.5068</v>
      </c>
    </row>
    <row r="379">
      <c r="A379" s="26" t="str">
        <f>IFERROR(__xludf.DUMMYFUNCTION("""COMPUTED_VALUE"""),"CA-2015-164833")</f>
        <v>CA-2015-164833</v>
      </c>
      <c r="B379" s="27">
        <f>IFERROR(__xludf.DUMMYFUNCTION("""COMPUTED_VALUE"""),42159.0)</f>
        <v>42159</v>
      </c>
      <c r="C379" s="26" t="str">
        <f>IFERROR(__xludf.DUMMYFUNCTION("""COMPUTED_VALUE"""),"Lauren Leatherbury")</f>
        <v>Lauren Leatherbury</v>
      </c>
      <c r="D379" s="26" t="str">
        <f>IFERROR(__xludf.DUMMYFUNCTION("""COMPUTED_VALUE"""),"Consumer")</f>
        <v>Consumer</v>
      </c>
      <c r="E379" s="26" t="str">
        <f>IFERROR(__xludf.DUMMYFUNCTION("""COMPUTED_VALUE"""),"West")</f>
        <v>West</v>
      </c>
      <c r="F379" s="26">
        <f>IFERROR(__xludf.DUMMYFUNCTION("""COMPUTED_VALUE"""),7.38)</f>
        <v>7.38</v>
      </c>
      <c r="G379" s="26">
        <f>IFERROR(__xludf.DUMMYFUNCTION("""COMPUTED_VALUE"""),2.0)</f>
        <v>2</v>
      </c>
      <c r="H379" s="26">
        <f>IFERROR(__xludf.DUMMYFUNCTION("""COMPUTED_VALUE"""),3.4686)</f>
        <v>3.4686</v>
      </c>
    </row>
    <row r="380">
      <c r="A380" s="26" t="str">
        <f>IFERROR(__xludf.DUMMYFUNCTION("""COMPUTED_VALUE"""),"CA-2015-125423")</f>
        <v>CA-2015-125423</v>
      </c>
      <c r="B380" s="27">
        <f>IFERROR(__xludf.DUMMYFUNCTION("""COMPUTED_VALUE"""),42351.0)</f>
        <v>42351</v>
      </c>
      <c r="C380" s="26" t="str">
        <f>IFERROR(__xludf.DUMMYFUNCTION("""COMPUTED_VALUE"""),"Matt Collins")</f>
        <v>Matt Collins</v>
      </c>
      <c r="D380" s="26" t="str">
        <f>IFERROR(__xludf.DUMMYFUNCTION("""COMPUTED_VALUE"""),"Consumer")</f>
        <v>Consumer</v>
      </c>
      <c r="E380" s="26" t="str">
        <f>IFERROR(__xludf.DUMMYFUNCTION("""COMPUTED_VALUE"""),"West")</f>
        <v>West</v>
      </c>
      <c r="F380" s="26">
        <f>IFERROR(__xludf.DUMMYFUNCTION("""COMPUTED_VALUE"""),9.96)</f>
        <v>9.96</v>
      </c>
      <c r="G380" s="26">
        <f>IFERROR(__xludf.DUMMYFUNCTION("""COMPUTED_VALUE"""),2.0)</f>
        <v>2</v>
      </c>
      <c r="H380" s="26">
        <f>IFERROR(__xludf.DUMMYFUNCTION("""COMPUTED_VALUE"""),4.5816)</f>
        <v>4.5816</v>
      </c>
    </row>
    <row r="381">
      <c r="A381" s="26" t="str">
        <f>IFERROR(__xludf.DUMMYFUNCTION("""COMPUTED_VALUE"""),"CA-2015-109197")</f>
        <v>CA-2015-109197</v>
      </c>
      <c r="B381" s="27">
        <f>IFERROR(__xludf.DUMMYFUNCTION("""COMPUTED_VALUE"""),42369.0)</f>
        <v>42369</v>
      </c>
      <c r="C381" s="26" t="str">
        <f>IFERROR(__xludf.DUMMYFUNCTION("""COMPUTED_VALUE"""),"Jas O'Carroll")</f>
        <v>Jas O'Carroll</v>
      </c>
      <c r="D381" s="26" t="str">
        <f>IFERROR(__xludf.DUMMYFUNCTION("""COMPUTED_VALUE"""),"Consumer")</f>
        <v>Consumer</v>
      </c>
      <c r="E381" s="26" t="str">
        <f>IFERROR(__xludf.DUMMYFUNCTION("""COMPUTED_VALUE"""),"West")</f>
        <v>West</v>
      </c>
      <c r="F381" s="26">
        <f>IFERROR(__xludf.DUMMYFUNCTION("""COMPUTED_VALUE"""),487.984)</f>
        <v>487.984</v>
      </c>
      <c r="G381" s="26">
        <f>IFERROR(__xludf.DUMMYFUNCTION("""COMPUTED_VALUE"""),2.0)</f>
        <v>2</v>
      </c>
      <c r="H381" s="26">
        <f>IFERROR(__xludf.DUMMYFUNCTION("""COMPUTED_VALUE"""),152.495)</f>
        <v>152.495</v>
      </c>
    </row>
    <row r="382">
      <c r="A382" s="26" t="str">
        <f>IFERROR(__xludf.DUMMYFUNCTION("""COMPUTED_VALUE"""),"CA-2015-157959")</f>
        <v>CA-2015-157959</v>
      </c>
      <c r="B382" s="27">
        <f>IFERROR(__xludf.DUMMYFUNCTION("""COMPUTED_VALUE"""),42038.0)</f>
        <v>42038</v>
      </c>
      <c r="C382" s="26" t="str">
        <f>IFERROR(__xludf.DUMMYFUNCTION("""COMPUTED_VALUE"""),"Rick Wilson")</f>
        <v>Rick Wilson</v>
      </c>
      <c r="D382" s="26" t="str">
        <f>IFERROR(__xludf.DUMMYFUNCTION("""COMPUTED_VALUE"""),"Corporate")</f>
        <v>Corporate</v>
      </c>
      <c r="E382" s="26" t="str">
        <f>IFERROR(__xludf.DUMMYFUNCTION("""COMPUTED_VALUE"""),"West")</f>
        <v>West</v>
      </c>
      <c r="F382" s="26">
        <f>IFERROR(__xludf.DUMMYFUNCTION("""COMPUTED_VALUE"""),136.92)</f>
        <v>136.92</v>
      </c>
      <c r="G382" s="26">
        <f>IFERROR(__xludf.DUMMYFUNCTION("""COMPUTED_VALUE"""),4.0)</f>
        <v>4</v>
      </c>
      <c r="H382" s="26">
        <f>IFERROR(__xludf.DUMMYFUNCTION("""COMPUTED_VALUE"""),41.076)</f>
        <v>41.076</v>
      </c>
    </row>
    <row r="383">
      <c r="A383" s="26" t="str">
        <f>IFERROR(__xludf.DUMMYFUNCTION("""COMPUTED_VALUE"""),"CA-2015-141768")</f>
        <v>CA-2015-141768</v>
      </c>
      <c r="B383" s="27">
        <f>IFERROR(__xludf.DUMMYFUNCTION("""COMPUTED_VALUE"""),42149.0)</f>
        <v>42149</v>
      </c>
      <c r="C383" s="26" t="str">
        <f>IFERROR(__xludf.DUMMYFUNCTION("""COMPUTED_VALUE"""),"Nora Pelletier")</f>
        <v>Nora Pelletier</v>
      </c>
      <c r="D383" s="26" t="str">
        <f>IFERROR(__xludf.DUMMYFUNCTION("""COMPUTED_VALUE"""),"Home Office")</f>
        <v>Home Office</v>
      </c>
      <c r="E383" s="26" t="str">
        <f>IFERROR(__xludf.DUMMYFUNCTION("""COMPUTED_VALUE"""),"West")</f>
        <v>West</v>
      </c>
      <c r="F383" s="26">
        <f>IFERROR(__xludf.DUMMYFUNCTION("""COMPUTED_VALUE"""),14.73)</f>
        <v>14.73</v>
      </c>
      <c r="G383" s="26">
        <f>IFERROR(__xludf.DUMMYFUNCTION("""COMPUTED_VALUE"""),3.0)</f>
        <v>3</v>
      </c>
      <c r="H383" s="26">
        <f>IFERROR(__xludf.DUMMYFUNCTION("""COMPUTED_VALUE"""),4.8609)</f>
        <v>4.8609</v>
      </c>
    </row>
    <row r="384">
      <c r="A384" s="26" t="str">
        <f>IFERROR(__xludf.DUMMYFUNCTION("""COMPUTED_VALUE"""),"CA-2015-109939")</f>
        <v>CA-2015-109939</v>
      </c>
      <c r="B384" s="27">
        <f>IFERROR(__xludf.DUMMYFUNCTION("""COMPUTED_VALUE"""),42132.0)</f>
        <v>42132</v>
      </c>
      <c r="C384" s="26" t="str">
        <f>IFERROR(__xludf.DUMMYFUNCTION("""COMPUTED_VALUE"""),"Allen Armold")</f>
        <v>Allen Armold</v>
      </c>
      <c r="D384" s="26" t="str">
        <f>IFERROR(__xludf.DUMMYFUNCTION("""COMPUTED_VALUE"""),"Consumer")</f>
        <v>Consumer</v>
      </c>
      <c r="E384" s="26" t="str">
        <f>IFERROR(__xludf.DUMMYFUNCTION("""COMPUTED_VALUE"""),"West")</f>
        <v>West</v>
      </c>
      <c r="F384" s="26">
        <f>IFERROR(__xludf.DUMMYFUNCTION("""COMPUTED_VALUE"""),5.248)</f>
        <v>5.248</v>
      </c>
      <c r="G384" s="26">
        <f>IFERROR(__xludf.DUMMYFUNCTION("""COMPUTED_VALUE"""),2.0)</f>
        <v>2</v>
      </c>
      <c r="H384" s="26">
        <f>IFERROR(__xludf.DUMMYFUNCTION("""COMPUTED_VALUE"""),0.5904)</f>
        <v>0.5904</v>
      </c>
    </row>
    <row r="385">
      <c r="A385" s="26" t="str">
        <f>IFERROR(__xludf.DUMMYFUNCTION("""COMPUTED_VALUE"""),"CA-2015-113110")</f>
        <v>CA-2015-113110</v>
      </c>
      <c r="B385" s="27">
        <f>IFERROR(__xludf.DUMMYFUNCTION("""COMPUTED_VALUE"""),42082.0)</f>
        <v>42082</v>
      </c>
      <c r="C385" s="26" t="str">
        <f>IFERROR(__xludf.DUMMYFUNCTION("""COMPUTED_VALUE"""),"Berenike Kampe")</f>
        <v>Berenike Kampe</v>
      </c>
      <c r="D385" s="26" t="str">
        <f>IFERROR(__xludf.DUMMYFUNCTION("""COMPUTED_VALUE"""),"Consumer")</f>
        <v>Consumer</v>
      </c>
      <c r="E385" s="26" t="str">
        <f>IFERROR(__xludf.DUMMYFUNCTION("""COMPUTED_VALUE"""),"West")</f>
        <v>West</v>
      </c>
      <c r="F385" s="26">
        <f>IFERROR(__xludf.DUMMYFUNCTION("""COMPUTED_VALUE"""),17.568)</f>
        <v>17.568</v>
      </c>
      <c r="G385" s="26">
        <f>IFERROR(__xludf.DUMMYFUNCTION("""COMPUTED_VALUE"""),2.0)</f>
        <v>2</v>
      </c>
      <c r="H385" s="26">
        <f>IFERROR(__xludf.DUMMYFUNCTION("""COMPUTED_VALUE"""),6.3684)</f>
        <v>6.3684</v>
      </c>
    </row>
    <row r="386">
      <c r="A386" s="26" t="str">
        <f>IFERROR(__xludf.DUMMYFUNCTION("""COMPUTED_VALUE"""),"CA-2015-114237")</f>
        <v>CA-2015-114237</v>
      </c>
      <c r="B386" s="27">
        <f>IFERROR(__xludf.DUMMYFUNCTION("""COMPUTED_VALUE"""),42076.0)</f>
        <v>42076</v>
      </c>
      <c r="C386" s="26" t="str">
        <f>IFERROR(__xludf.DUMMYFUNCTION("""COMPUTED_VALUE"""),"Marc Crier")</f>
        <v>Marc Crier</v>
      </c>
      <c r="D386" s="26" t="str">
        <f>IFERROR(__xludf.DUMMYFUNCTION("""COMPUTED_VALUE"""),"Consumer")</f>
        <v>Consumer</v>
      </c>
      <c r="E386" s="26" t="str">
        <f>IFERROR(__xludf.DUMMYFUNCTION("""COMPUTED_VALUE"""),"West")</f>
        <v>West</v>
      </c>
      <c r="F386" s="26">
        <f>IFERROR(__xludf.DUMMYFUNCTION("""COMPUTED_VALUE"""),141.96)</f>
        <v>141.96</v>
      </c>
      <c r="G386" s="26">
        <f>IFERROR(__xludf.DUMMYFUNCTION("""COMPUTED_VALUE"""),2.0)</f>
        <v>2</v>
      </c>
      <c r="H386" s="26">
        <f>IFERROR(__xludf.DUMMYFUNCTION("""COMPUTED_VALUE"""),39.7488)</f>
        <v>39.7488</v>
      </c>
    </row>
    <row r="387">
      <c r="A387" s="26" t="str">
        <f>IFERROR(__xludf.DUMMYFUNCTION("""COMPUTED_VALUE"""),"CA-2015-119214")</f>
        <v>CA-2015-119214</v>
      </c>
      <c r="B387" s="27">
        <f>IFERROR(__xludf.DUMMYFUNCTION("""COMPUTED_VALUE"""),42027.0)</f>
        <v>42027</v>
      </c>
      <c r="C387" s="26" t="str">
        <f>IFERROR(__xludf.DUMMYFUNCTION("""COMPUTED_VALUE"""),"Carl Weiss")</f>
        <v>Carl Weiss</v>
      </c>
      <c r="D387" s="26" t="str">
        <f>IFERROR(__xludf.DUMMYFUNCTION("""COMPUTED_VALUE"""),"Home Office")</f>
        <v>Home Office</v>
      </c>
      <c r="E387" s="26" t="str">
        <f>IFERROR(__xludf.DUMMYFUNCTION("""COMPUTED_VALUE"""),"West")</f>
        <v>West</v>
      </c>
      <c r="F387" s="26">
        <f>IFERROR(__xludf.DUMMYFUNCTION("""COMPUTED_VALUE"""),29.04)</f>
        <v>29.04</v>
      </c>
      <c r="G387" s="26">
        <f>IFERROR(__xludf.DUMMYFUNCTION("""COMPUTED_VALUE"""),3.0)</f>
        <v>3</v>
      </c>
      <c r="H387" s="26">
        <f>IFERROR(__xludf.DUMMYFUNCTION("""COMPUTED_VALUE"""),13.9392)</f>
        <v>13.9392</v>
      </c>
    </row>
    <row r="388">
      <c r="A388" s="26" t="str">
        <f>IFERROR(__xludf.DUMMYFUNCTION("""COMPUTED_VALUE"""),"CA-2015-122287")</f>
        <v>CA-2015-122287</v>
      </c>
      <c r="B388" s="27">
        <f>IFERROR(__xludf.DUMMYFUNCTION("""COMPUTED_VALUE"""),42173.0)</f>
        <v>42173</v>
      </c>
      <c r="C388" s="26" t="str">
        <f>IFERROR(__xludf.DUMMYFUNCTION("""COMPUTED_VALUE"""),"Skye Norling")</f>
        <v>Skye Norling</v>
      </c>
      <c r="D388" s="26" t="str">
        <f>IFERROR(__xludf.DUMMYFUNCTION("""COMPUTED_VALUE"""),"Home Office")</f>
        <v>Home Office</v>
      </c>
      <c r="E388" s="26" t="str">
        <f>IFERROR(__xludf.DUMMYFUNCTION("""COMPUTED_VALUE"""),"West")</f>
        <v>West</v>
      </c>
      <c r="F388" s="26">
        <f>IFERROR(__xludf.DUMMYFUNCTION("""COMPUTED_VALUE"""),11.952)</f>
        <v>11.952</v>
      </c>
      <c r="G388" s="26">
        <f>IFERROR(__xludf.DUMMYFUNCTION("""COMPUTED_VALUE"""),3.0)</f>
        <v>3</v>
      </c>
      <c r="H388" s="26">
        <f>IFERROR(__xludf.DUMMYFUNCTION("""COMPUTED_VALUE"""),4.3326)</f>
        <v>4.3326</v>
      </c>
    </row>
    <row r="389">
      <c r="A389" s="26" t="str">
        <f>IFERROR(__xludf.DUMMYFUNCTION("""COMPUTED_VALUE"""),"CA-2015-104493")</f>
        <v>CA-2015-104493</v>
      </c>
      <c r="B389" s="27">
        <f>IFERROR(__xludf.DUMMYFUNCTION("""COMPUTED_VALUE"""),42279.0)</f>
        <v>42279</v>
      </c>
      <c r="C389" s="26" t="str">
        <f>IFERROR(__xludf.DUMMYFUNCTION("""COMPUTED_VALUE"""),"Ed Braxton")</f>
        <v>Ed Braxton</v>
      </c>
      <c r="D389" s="26" t="str">
        <f>IFERROR(__xludf.DUMMYFUNCTION("""COMPUTED_VALUE"""),"Corporate")</f>
        <v>Corporate</v>
      </c>
      <c r="E389" s="26" t="str">
        <f>IFERROR(__xludf.DUMMYFUNCTION("""COMPUTED_VALUE"""),"West")</f>
        <v>West</v>
      </c>
      <c r="F389" s="26">
        <f>IFERROR(__xludf.DUMMYFUNCTION("""COMPUTED_VALUE"""),57.504)</f>
        <v>57.504</v>
      </c>
      <c r="G389" s="26">
        <f>IFERROR(__xludf.DUMMYFUNCTION("""COMPUTED_VALUE"""),6.0)</f>
        <v>6</v>
      </c>
      <c r="H389" s="26">
        <f>IFERROR(__xludf.DUMMYFUNCTION("""COMPUTED_VALUE"""),20.1264)</f>
        <v>20.1264</v>
      </c>
    </row>
    <row r="390">
      <c r="A390" s="26" t="str">
        <f>IFERROR(__xludf.DUMMYFUNCTION("""COMPUTED_VALUE"""),"CA-2015-133452")</f>
        <v>CA-2015-133452</v>
      </c>
      <c r="B390" s="27">
        <f>IFERROR(__xludf.DUMMYFUNCTION("""COMPUTED_VALUE"""),42107.0)</f>
        <v>42107</v>
      </c>
      <c r="C390" s="26" t="str">
        <f>IFERROR(__xludf.DUMMYFUNCTION("""COMPUTED_VALUE"""),"Zuschuss Carroll")</f>
        <v>Zuschuss Carroll</v>
      </c>
      <c r="D390" s="26" t="str">
        <f>IFERROR(__xludf.DUMMYFUNCTION("""COMPUTED_VALUE"""),"Consumer")</f>
        <v>Consumer</v>
      </c>
      <c r="E390" s="26" t="str">
        <f>IFERROR(__xludf.DUMMYFUNCTION("""COMPUTED_VALUE"""),"West")</f>
        <v>West</v>
      </c>
      <c r="F390" s="26">
        <f>IFERROR(__xludf.DUMMYFUNCTION("""COMPUTED_VALUE"""),199.96)</f>
        <v>199.96</v>
      </c>
      <c r="G390" s="26">
        <f>IFERROR(__xludf.DUMMYFUNCTION("""COMPUTED_VALUE"""),4.0)</f>
        <v>4</v>
      </c>
      <c r="H390" s="26">
        <f>IFERROR(__xludf.DUMMYFUNCTION("""COMPUTED_VALUE"""),69.986)</f>
        <v>69.986</v>
      </c>
    </row>
    <row r="391">
      <c r="A391" s="26" t="str">
        <f>IFERROR(__xludf.DUMMYFUNCTION("""COMPUTED_VALUE"""),"CA-2015-120103")</f>
        <v>CA-2015-120103</v>
      </c>
      <c r="B391" s="27">
        <f>IFERROR(__xludf.DUMMYFUNCTION("""COMPUTED_VALUE"""),42362.0)</f>
        <v>42362</v>
      </c>
      <c r="C391" s="26" t="str">
        <f>IFERROR(__xludf.DUMMYFUNCTION("""COMPUTED_VALUE"""),"Maribeth Schnelling")</f>
        <v>Maribeth Schnelling</v>
      </c>
      <c r="D391" s="26" t="str">
        <f>IFERROR(__xludf.DUMMYFUNCTION("""COMPUTED_VALUE"""),"Consumer")</f>
        <v>Consumer</v>
      </c>
      <c r="E391" s="26" t="str">
        <f>IFERROR(__xludf.DUMMYFUNCTION("""COMPUTED_VALUE"""),"West")</f>
        <v>West</v>
      </c>
      <c r="F391" s="26">
        <f>IFERROR(__xludf.DUMMYFUNCTION("""COMPUTED_VALUE"""),106.232)</f>
        <v>106.232</v>
      </c>
      <c r="G391" s="26">
        <f>IFERROR(__xludf.DUMMYFUNCTION("""COMPUTED_VALUE"""),7.0)</f>
        <v>7</v>
      </c>
      <c r="H391" s="26">
        <f>IFERROR(__xludf.DUMMYFUNCTION("""COMPUTED_VALUE"""),37.1812)</f>
        <v>37.1812</v>
      </c>
    </row>
    <row r="392">
      <c r="A392" s="26" t="str">
        <f>IFERROR(__xludf.DUMMYFUNCTION("""COMPUTED_VALUE"""),"CA-2015-139290")</f>
        <v>CA-2015-139290</v>
      </c>
      <c r="B392" s="27">
        <f>IFERROR(__xludf.DUMMYFUNCTION("""COMPUTED_VALUE"""),42303.0)</f>
        <v>42303</v>
      </c>
      <c r="C392" s="26" t="str">
        <f>IFERROR(__xludf.DUMMYFUNCTION("""COMPUTED_VALUE"""),"Maribeth Yedwab")</f>
        <v>Maribeth Yedwab</v>
      </c>
      <c r="D392" s="26" t="str">
        <f>IFERROR(__xludf.DUMMYFUNCTION("""COMPUTED_VALUE"""),"Corporate")</f>
        <v>Corporate</v>
      </c>
      <c r="E392" s="26" t="str">
        <f>IFERROR(__xludf.DUMMYFUNCTION("""COMPUTED_VALUE"""),"West")</f>
        <v>West</v>
      </c>
      <c r="F392" s="26">
        <f>IFERROR(__xludf.DUMMYFUNCTION("""COMPUTED_VALUE"""),5.76)</f>
        <v>5.76</v>
      </c>
      <c r="G392" s="26">
        <f>IFERROR(__xludf.DUMMYFUNCTION("""COMPUTED_VALUE"""),2.0)</f>
        <v>2</v>
      </c>
      <c r="H392" s="26">
        <f>IFERROR(__xludf.DUMMYFUNCTION("""COMPUTED_VALUE"""),2.6496)</f>
        <v>2.6496</v>
      </c>
    </row>
    <row r="393">
      <c r="A393" s="26" t="str">
        <f>IFERROR(__xludf.DUMMYFUNCTION("""COMPUTED_VALUE"""),"CA-2015-149678")</f>
        <v>CA-2015-149678</v>
      </c>
      <c r="B393" s="27">
        <f>IFERROR(__xludf.DUMMYFUNCTION("""COMPUTED_VALUE"""),42107.0)</f>
        <v>42107</v>
      </c>
      <c r="C393" s="26" t="str">
        <f>IFERROR(__xludf.DUMMYFUNCTION("""COMPUTED_VALUE"""),"Anthony Witt")</f>
        <v>Anthony Witt</v>
      </c>
      <c r="D393" s="26" t="str">
        <f>IFERROR(__xludf.DUMMYFUNCTION("""COMPUTED_VALUE"""),"Consumer")</f>
        <v>Consumer</v>
      </c>
      <c r="E393" s="26" t="str">
        <f>IFERROR(__xludf.DUMMYFUNCTION("""COMPUTED_VALUE"""),"West")</f>
        <v>West</v>
      </c>
      <c r="F393" s="26">
        <f>IFERROR(__xludf.DUMMYFUNCTION("""COMPUTED_VALUE"""),12.88)</f>
        <v>12.88</v>
      </c>
      <c r="G393" s="26">
        <f>IFERROR(__xludf.DUMMYFUNCTION("""COMPUTED_VALUE"""),1.0)</f>
        <v>1</v>
      </c>
      <c r="H393" s="26">
        <f>IFERROR(__xludf.DUMMYFUNCTION("""COMPUTED_VALUE"""),0.3864)</f>
        <v>0.3864</v>
      </c>
    </row>
    <row r="394">
      <c r="A394" s="26" t="str">
        <f>IFERROR(__xludf.DUMMYFUNCTION("""COMPUTED_VALUE"""),"CA-2015-164882")</f>
        <v>CA-2015-164882</v>
      </c>
      <c r="B394" s="27">
        <f>IFERROR(__xludf.DUMMYFUNCTION("""COMPUTED_VALUE"""),42308.0)</f>
        <v>42308</v>
      </c>
      <c r="C394" s="26" t="str">
        <f>IFERROR(__xludf.DUMMYFUNCTION("""COMPUTED_VALUE"""),"Sandra Glassco")</f>
        <v>Sandra Glassco</v>
      </c>
      <c r="D394" s="26" t="str">
        <f>IFERROR(__xludf.DUMMYFUNCTION("""COMPUTED_VALUE"""),"Consumer")</f>
        <v>Consumer</v>
      </c>
      <c r="E394" s="26" t="str">
        <f>IFERROR(__xludf.DUMMYFUNCTION("""COMPUTED_VALUE"""),"West")</f>
        <v>West</v>
      </c>
      <c r="F394" s="26">
        <f>IFERROR(__xludf.DUMMYFUNCTION("""COMPUTED_VALUE"""),19.98)</f>
        <v>19.98</v>
      </c>
      <c r="G394" s="26">
        <f>IFERROR(__xludf.DUMMYFUNCTION("""COMPUTED_VALUE"""),1.0)</f>
        <v>1</v>
      </c>
      <c r="H394" s="26">
        <f>IFERROR(__xludf.DUMMYFUNCTION("""COMPUTED_VALUE"""),9.3906)</f>
        <v>9.3906</v>
      </c>
    </row>
    <row r="395">
      <c r="A395" s="26" t="str">
        <f>IFERROR(__xludf.DUMMYFUNCTION("""COMPUTED_VALUE"""),"CA-2015-138002")</f>
        <v>CA-2015-138002</v>
      </c>
      <c r="B395" s="27">
        <f>IFERROR(__xludf.DUMMYFUNCTION("""COMPUTED_VALUE"""),42253.0)</f>
        <v>42253</v>
      </c>
      <c r="C395" s="26" t="str">
        <f>IFERROR(__xludf.DUMMYFUNCTION("""COMPUTED_VALUE"""),"Beth Thompson")</f>
        <v>Beth Thompson</v>
      </c>
      <c r="D395" s="26" t="str">
        <f>IFERROR(__xludf.DUMMYFUNCTION("""COMPUTED_VALUE"""),"Home Office")</f>
        <v>Home Office</v>
      </c>
      <c r="E395" s="26" t="str">
        <f>IFERROR(__xludf.DUMMYFUNCTION("""COMPUTED_VALUE"""),"West")</f>
        <v>West</v>
      </c>
      <c r="F395" s="26">
        <f>IFERROR(__xludf.DUMMYFUNCTION("""COMPUTED_VALUE"""),6.096)</f>
        <v>6.096</v>
      </c>
      <c r="G395" s="26">
        <f>IFERROR(__xludf.DUMMYFUNCTION("""COMPUTED_VALUE"""),2.0)</f>
        <v>2</v>
      </c>
      <c r="H395" s="26">
        <f>IFERROR(__xludf.DUMMYFUNCTION("""COMPUTED_VALUE"""),2.1336)</f>
        <v>2.1336</v>
      </c>
    </row>
    <row r="396">
      <c r="A396" s="26" t="str">
        <f>IFERROR(__xludf.DUMMYFUNCTION("""COMPUTED_VALUE"""),"CA-2015-123232")</f>
        <v>CA-2015-123232</v>
      </c>
      <c r="B396" s="27">
        <f>IFERROR(__xludf.DUMMYFUNCTION("""COMPUTED_VALUE"""),42352.0)</f>
        <v>42352</v>
      </c>
      <c r="C396" s="26" t="str">
        <f>IFERROR(__xludf.DUMMYFUNCTION("""COMPUTED_VALUE"""),"Doug Jacobs")</f>
        <v>Doug Jacobs</v>
      </c>
      <c r="D396" s="26" t="str">
        <f>IFERROR(__xludf.DUMMYFUNCTION("""COMPUTED_VALUE"""),"Consumer")</f>
        <v>Consumer</v>
      </c>
      <c r="E396" s="26" t="str">
        <f>IFERROR(__xludf.DUMMYFUNCTION("""COMPUTED_VALUE"""),"West")</f>
        <v>West</v>
      </c>
      <c r="F396" s="26">
        <f>IFERROR(__xludf.DUMMYFUNCTION("""COMPUTED_VALUE"""),319.968)</f>
        <v>319.968</v>
      </c>
      <c r="G396" s="26">
        <f>IFERROR(__xludf.DUMMYFUNCTION("""COMPUTED_VALUE"""),4.0)</f>
        <v>4</v>
      </c>
      <c r="H396" s="26">
        <f>IFERROR(__xludf.DUMMYFUNCTION("""COMPUTED_VALUE"""),35.9964)</f>
        <v>35.9964</v>
      </c>
    </row>
    <row r="397">
      <c r="A397" s="26" t="str">
        <f>IFERROR(__xludf.DUMMYFUNCTION("""COMPUTED_VALUE"""),"CA-2015-116092")</f>
        <v>CA-2015-116092</v>
      </c>
      <c r="B397" s="27">
        <f>IFERROR(__xludf.DUMMYFUNCTION("""COMPUTED_VALUE"""),42050.0)</f>
        <v>42050</v>
      </c>
      <c r="C397" s="26" t="str">
        <f>IFERROR(__xludf.DUMMYFUNCTION("""COMPUTED_VALUE"""),"Justin MacKendrick")</f>
        <v>Justin MacKendrick</v>
      </c>
      <c r="D397" s="26" t="str">
        <f>IFERROR(__xludf.DUMMYFUNCTION("""COMPUTED_VALUE"""),"Consumer")</f>
        <v>Consumer</v>
      </c>
      <c r="E397" s="26" t="str">
        <f>IFERROR(__xludf.DUMMYFUNCTION("""COMPUTED_VALUE"""),"West")</f>
        <v>West</v>
      </c>
      <c r="F397" s="26">
        <f>IFERROR(__xludf.DUMMYFUNCTION("""COMPUTED_VALUE"""),13.36)</f>
        <v>13.36</v>
      </c>
      <c r="G397" s="26">
        <f>IFERROR(__xludf.DUMMYFUNCTION("""COMPUTED_VALUE"""),2.0)</f>
        <v>2</v>
      </c>
      <c r="H397" s="26">
        <f>IFERROR(__xludf.DUMMYFUNCTION("""COMPUTED_VALUE"""),6.4128)</f>
        <v>6.4128</v>
      </c>
    </row>
    <row r="398">
      <c r="A398" s="26" t="str">
        <f>IFERROR(__xludf.DUMMYFUNCTION("""COMPUTED_VALUE"""),"CA-2015-169201")</f>
        <v>CA-2015-169201</v>
      </c>
      <c r="B398" s="27">
        <f>IFERROR(__xludf.DUMMYFUNCTION("""COMPUTED_VALUE"""),42275.0)</f>
        <v>42275</v>
      </c>
      <c r="C398" s="26" t="str">
        <f>IFERROR(__xludf.DUMMYFUNCTION("""COMPUTED_VALUE"""),"Henry Goldwyn")</f>
        <v>Henry Goldwyn</v>
      </c>
      <c r="D398" s="26" t="str">
        <f>IFERROR(__xludf.DUMMYFUNCTION("""COMPUTED_VALUE"""),"Corporate")</f>
        <v>Corporate</v>
      </c>
      <c r="E398" s="26" t="str">
        <f>IFERROR(__xludf.DUMMYFUNCTION("""COMPUTED_VALUE"""),"West")</f>
        <v>West</v>
      </c>
      <c r="F398" s="26">
        <f>IFERROR(__xludf.DUMMYFUNCTION("""COMPUTED_VALUE"""),43.26)</f>
        <v>43.26</v>
      </c>
      <c r="G398" s="26">
        <f>IFERROR(__xludf.DUMMYFUNCTION("""COMPUTED_VALUE"""),3.0)</f>
        <v>3</v>
      </c>
      <c r="H398" s="26">
        <f>IFERROR(__xludf.DUMMYFUNCTION("""COMPUTED_VALUE"""),14.2758)</f>
        <v>14.2758</v>
      </c>
    </row>
    <row r="399">
      <c r="A399" s="26" t="str">
        <f>IFERROR(__xludf.DUMMYFUNCTION("""COMPUTED_VALUE"""),"CA-2015-117611")</f>
        <v>CA-2015-117611</v>
      </c>
      <c r="B399" s="27">
        <f>IFERROR(__xludf.DUMMYFUNCTION("""COMPUTED_VALUE"""),42316.0)</f>
        <v>42316</v>
      </c>
      <c r="C399" s="26" t="str">
        <f>IFERROR(__xludf.DUMMYFUNCTION("""COMPUTED_VALUE"""),"Maria Zettner")</f>
        <v>Maria Zettner</v>
      </c>
      <c r="D399" s="26" t="str">
        <f>IFERROR(__xludf.DUMMYFUNCTION("""COMPUTED_VALUE"""),"Home Office")</f>
        <v>Home Office</v>
      </c>
      <c r="E399" s="26" t="str">
        <f>IFERROR(__xludf.DUMMYFUNCTION("""COMPUTED_VALUE"""),"West")</f>
        <v>West</v>
      </c>
      <c r="F399" s="26">
        <f>IFERROR(__xludf.DUMMYFUNCTION("""COMPUTED_VALUE"""),5.0)</f>
        <v>5</v>
      </c>
      <c r="G399" s="26">
        <f>IFERROR(__xludf.DUMMYFUNCTION("""COMPUTED_VALUE"""),1.0)</f>
        <v>1</v>
      </c>
      <c r="H399" s="26">
        <f>IFERROR(__xludf.DUMMYFUNCTION("""COMPUTED_VALUE"""),2.4)</f>
        <v>2.4</v>
      </c>
    </row>
    <row r="400">
      <c r="A400" s="26" t="str">
        <f>IFERROR(__xludf.DUMMYFUNCTION("""COMPUTED_VALUE"""),"CA-2015-102036")</f>
        <v>CA-2015-102036</v>
      </c>
      <c r="B400" s="27">
        <f>IFERROR(__xludf.DUMMYFUNCTION("""COMPUTED_VALUE"""),42268.0)</f>
        <v>42268</v>
      </c>
      <c r="C400" s="26" t="str">
        <f>IFERROR(__xludf.DUMMYFUNCTION("""COMPUTED_VALUE"""),"Chad Sievert")</f>
        <v>Chad Sievert</v>
      </c>
      <c r="D400" s="26" t="str">
        <f>IFERROR(__xludf.DUMMYFUNCTION("""COMPUTED_VALUE"""),"Consumer")</f>
        <v>Consumer</v>
      </c>
      <c r="E400" s="26" t="str">
        <f>IFERROR(__xludf.DUMMYFUNCTION("""COMPUTED_VALUE"""),"West")</f>
        <v>West</v>
      </c>
      <c r="F400" s="26">
        <f>IFERROR(__xludf.DUMMYFUNCTION("""COMPUTED_VALUE"""),199.74)</f>
        <v>199.74</v>
      </c>
      <c r="G400" s="26">
        <f>IFERROR(__xludf.DUMMYFUNCTION("""COMPUTED_VALUE"""),6.0)</f>
        <v>6</v>
      </c>
      <c r="H400" s="26">
        <f>IFERROR(__xludf.DUMMYFUNCTION("""COMPUTED_VALUE"""),47.9376)</f>
        <v>47.9376</v>
      </c>
    </row>
    <row r="401">
      <c r="A401" s="26" t="str">
        <f>IFERROR(__xludf.DUMMYFUNCTION("""COMPUTED_VALUE"""),"CA-2015-142944")</f>
        <v>CA-2015-142944</v>
      </c>
      <c r="B401" s="27">
        <f>IFERROR(__xludf.DUMMYFUNCTION("""COMPUTED_VALUE"""),42069.0)</f>
        <v>42069</v>
      </c>
      <c r="C401" s="26" t="str">
        <f>IFERROR(__xludf.DUMMYFUNCTION("""COMPUTED_VALUE"""),"John Lucas")</f>
        <v>John Lucas</v>
      </c>
      <c r="D401" s="26" t="str">
        <f>IFERROR(__xludf.DUMMYFUNCTION("""COMPUTED_VALUE"""),"Consumer")</f>
        <v>Consumer</v>
      </c>
      <c r="E401" s="26" t="str">
        <f>IFERROR(__xludf.DUMMYFUNCTION("""COMPUTED_VALUE"""),"West")</f>
        <v>West</v>
      </c>
      <c r="F401" s="26">
        <f>IFERROR(__xludf.DUMMYFUNCTION("""COMPUTED_VALUE"""),435.26)</f>
        <v>435.26</v>
      </c>
      <c r="G401" s="26">
        <f>IFERROR(__xludf.DUMMYFUNCTION("""COMPUTED_VALUE"""),7.0)</f>
        <v>7</v>
      </c>
      <c r="H401" s="26">
        <f>IFERROR(__xludf.DUMMYFUNCTION("""COMPUTED_VALUE"""),95.7572)</f>
        <v>95.7572</v>
      </c>
    </row>
    <row r="402">
      <c r="A402" s="26" t="str">
        <f>IFERROR(__xludf.DUMMYFUNCTION("""COMPUTED_VALUE"""),"CA-2015-111514")</f>
        <v>CA-2015-111514</v>
      </c>
      <c r="B402" s="27">
        <f>IFERROR(__xludf.DUMMYFUNCTION("""COMPUTED_VALUE"""),42247.0)</f>
        <v>42247</v>
      </c>
      <c r="C402" s="26" t="str">
        <f>IFERROR(__xludf.DUMMYFUNCTION("""COMPUTED_VALUE"""),"Scott Cohen")</f>
        <v>Scott Cohen</v>
      </c>
      <c r="D402" s="26" t="str">
        <f>IFERROR(__xludf.DUMMYFUNCTION("""COMPUTED_VALUE"""),"Corporate")</f>
        <v>Corporate</v>
      </c>
      <c r="E402" s="26" t="str">
        <f>IFERROR(__xludf.DUMMYFUNCTION("""COMPUTED_VALUE"""),"West")</f>
        <v>West</v>
      </c>
      <c r="F402" s="26">
        <f>IFERROR(__xludf.DUMMYFUNCTION("""COMPUTED_VALUE"""),1552.831)</f>
        <v>1552.831</v>
      </c>
      <c r="G402" s="26">
        <f>IFERROR(__xludf.DUMMYFUNCTION("""COMPUTED_VALUE"""),7.0)</f>
        <v>7</v>
      </c>
      <c r="H402" s="26">
        <f>IFERROR(__xludf.DUMMYFUNCTION("""COMPUTED_VALUE"""),200.9546)</f>
        <v>200.9546</v>
      </c>
    </row>
    <row r="403">
      <c r="A403" s="26" t="str">
        <f>IFERROR(__xludf.DUMMYFUNCTION("""COMPUTED_VALUE"""),"CA-2015-148628")</f>
        <v>CA-2015-148628</v>
      </c>
      <c r="B403" s="27">
        <f>IFERROR(__xludf.DUMMYFUNCTION("""COMPUTED_VALUE"""),42344.0)</f>
        <v>42344</v>
      </c>
      <c r="C403" s="26" t="str">
        <f>IFERROR(__xludf.DUMMYFUNCTION("""COMPUTED_VALUE"""),"Katherine Murray")</f>
        <v>Katherine Murray</v>
      </c>
      <c r="D403" s="26" t="str">
        <f>IFERROR(__xludf.DUMMYFUNCTION("""COMPUTED_VALUE"""),"Home Office")</f>
        <v>Home Office</v>
      </c>
      <c r="E403" s="26" t="str">
        <f>IFERROR(__xludf.DUMMYFUNCTION("""COMPUTED_VALUE"""),"West")</f>
        <v>West</v>
      </c>
      <c r="F403" s="26">
        <f>IFERROR(__xludf.DUMMYFUNCTION("""COMPUTED_VALUE"""),32.75)</f>
        <v>32.75</v>
      </c>
      <c r="G403" s="26">
        <f>IFERROR(__xludf.DUMMYFUNCTION("""COMPUTED_VALUE"""),5.0)</f>
        <v>5</v>
      </c>
      <c r="H403" s="26">
        <f>IFERROR(__xludf.DUMMYFUNCTION("""COMPUTED_VALUE"""),15.065)</f>
        <v>15.065</v>
      </c>
    </row>
    <row r="404">
      <c r="A404" s="26" t="str">
        <f>IFERROR(__xludf.DUMMYFUNCTION("""COMPUTED_VALUE"""),"CA-2015-145065")</f>
        <v>CA-2015-145065</v>
      </c>
      <c r="B404" s="27">
        <f>IFERROR(__xludf.DUMMYFUNCTION("""COMPUTED_VALUE"""),42350.0)</f>
        <v>42350</v>
      </c>
      <c r="C404" s="26" t="str">
        <f>IFERROR(__xludf.DUMMYFUNCTION("""COMPUTED_VALUE"""),"Dennis Kane")</f>
        <v>Dennis Kane</v>
      </c>
      <c r="D404" s="26" t="str">
        <f>IFERROR(__xludf.DUMMYFUNCTION("""COMPUTED_VALUE"""),"Consumer")</f>
        <v>Consumer</v>
      </c>
      <c r="E404" s="26" t="str">
        <f>IFERROR(__xludf.DUMMYFUNCTION("""COMPUTED_VALUE"""),"West")</f>
        <v>West</v>
      </c>
      <c r="F404" s="26">
        <f>IFERROR(__xludf.DUMMYFUNCTION("""COMPUTED_VALUE"""),7.86)</f>
        <v>7.86</v>
      </c>
      <c r="G404" s="26">
        <f>IFERROR(__xludf.DUMMYFUNCTION("""COMPUTED_VALUE"""),2.0)</f>
        <v>2</v>
      </c>
      <c r="H404" s="26">
        <f>IFERROR(__xludf.DUMMYFUNCTION("""COMPUTED_VALUE"""),3.6156)</f>
        <v>3.6156</v>
      </c>
    </row>
    <row r="405">
      <c r="A405" s="26" t="str">
        <f>IFERROR(__xludf.DUMMYFUNCTION("""COMPUTED_VALUE"""),"CA-2015-142041")</f>
        <v>CA-2015-142041</v>
      </c>
      <c r="B405" s="27">
        <f>IFERROR(__xludf.DUMMYFUNCTION("""COMPUTED_VALUE"""),42162.0)</f>
        <v>42162</v>
      </c>
      <c r="C405" s="26" t="str">
        <f>IFERROR(__xludf.DUMMYFUNCTION("""COMPUTED_VALUE"""),"Eleni McCrary")</f>
        <v>Eleni McCrary</v>
      </c>
      <c r="D405" s="26" t="str">
        <f>IFERROR(__xludf.DUMMYFUNCTION("""COMPUTED_VALUE"""),"Corporate")</f>
        <v>Corporate</v>
      </c>
      <c r="E405" s="26" t="str">
        <f>IFERROR(__xludf.DUMMYFUNCTION("""COMPUTED_VALUE"""),"West")</f>
        <v>West</v>
      </c>
      <c r="F405" s="26">
        <f>IFERROR(__xludf.DUMMYFUNCTION("""COMPUTED_VALUE"""),7.52)</f>
        <v>7.52</v>
      </c>
      <c r="G405" s="26">
        <f>IFERROR(__xludf.DUMMYFUNCTION("""COMPUTED_VALUE"""),5.0)</f>
        <v>5</v>
      </c>
      <c r="H405" s="26">
        <f>IFERROR(__xludf.DUMMYFUNCTION("""COMPUTED_VALUE"""),2.632)</f>
        <v>2.632</v>
      </c>
    </row>
    <row r="406">
      <c r="A406" s="26" t="str">
        <f>IFERROR(__xludf.DUMMYFUNCTION("""COMPUTED_VALUE"""),"CA-2015-100573")</f>
        <v>CA-2015-100573</v>
      </c>
      <c r="B406" s="27">
        <f>IFERROR(__xludf.DUMMYFUNCTION("""COMPUTED_VALUE"""),42272.0)</f>
        <v>42272</v>
      </c>
      <c r="C406" s="26" t="str">
        <f>IFERROR(__xludf.DUMMYFUNCTION("""COMPUTED_VALUE"""),"Anne McFarland")</f>
        <v>Anne McFarland</v>
      </c>
      <c r="D406" s="26" t="str">
        <f>IFERROR(__xludf.DUMMYFUNCTION("""COMPUTED_VALUE"""),"Consumer")</f>
        <v>Consumer</v>
      </c>
      <c r="E406" s="26" t="str">
        <f>IFERROR(__xludf.DUMMYFUNCTION("""COMPUTED_VALUE"""),"West")</f>
        <v>West</v>
      </c>
      <c r="F406" s="26">
        <f>IFERROR(__xludf.DUMMYFUNCTION("""COMPUTED_VALUE"""),17.48)</f>
        <v>17.48</v>
      </c>
      <c r="G406" s="26">
        <f>IFERROR(__xludf.DUMMYFUNCTION("""COMPUTED_VALUE"""),2.0)</f>
        <v>2</v>
      </c>
      <c r="H406" s="26">
        <f>IFERROR(__xludf.DUMMYFUNCTION("""COMPUTED_VALUE"""),8.2156)</f>
        <v>8.2156</v>
      </c>
    </row>
    <row r="407">
      <c r="A407" s="26" t="str">
        <f>IFERROR(__xludf.DUMMYFUNCTION("""COMPUTED_VALUE"""),"CA-2015-142419")</f>
        <v>CA-2015-142419</v>
      </c>
      <c r="B407" s="27">
        <f>IFERROR(__xludf.DUMMYFUNCTION("""COMPUTED_VALUE"""),42196.0)</f>
        <v>42196</v>
      </c>
      <c r="C407" s="26" t="str">
        <f>IFERROR(__xludf.DUMMYFUNCTION("""COMPUTED_VALUE"""),"Shahid Collister")</f>
        <v>Shahid Collister</v>
      </c>
      <c r="D407" s="26" t="str">
        <f>IFERROR(__xludf.DUMMYFUNCTION("""COMPUTED_VALUE"""),"Consumer")</f>
        <v>Consumer</v>
      </c>
      <c r="E407" s="26" t="str">
        <f>IFERROR(__xludf.DUMMYFUNCTION("""COMPUTED_VALUE"""),"West")</f>
        <v>West</v>
      </c>
      <c r="F407" s="26">
        <f>IFERROR(__xludf.DUMMYFUNCTION("""COMPUTED_VALUE"""),29.97)</f>
        <v>29.97</v>
      </c>
      <c r="G407" s="26">
        <f>IFERROR(__xludf.DUMMYFUNCTION("""COMPUTED_VALUE"""),3.0)</f>
        <v>3</v>
      </c>
      <c r="H407" s="26">
        <f>IFERROR(__xludf.DUMMYFUNCTION("""COMPUTED_VALUE"""),13.4865)</f>
        <v>13.4865</v>
      </c>
    </row>
    <row r="408">
      <c r="A408" s="26" t="str">
        <f>IFERROR(__xludf.DUMMYFUNCTION("""COMPUTED_VALUE"""),"CA-2015-122371")</f>
        <v>CA-2015-122371</v>
      </c>
      <c r="B408" s="27">
        <f>IFERROR(__xludf.DUMMYFUNCTION("""COMPUTED_VALUE"""),42273.0)</f>
        <v>42273</v>
      </c>
      <c r="C408" s="26" t="str">
        <f>IFERROR(__xludf.DUMMYFUNCTION("""COMPUTED_VALUE"""),"Bryan Spruell")</f>
        <v>Bryan Spruell</v>
      </c>
      <c r="D408" s="26" t="str">
        <f>IFERROR(__xludf.DUMMYFUNCTION("""COMPUTED_VALUE"""),"Home Office")</f>
        <v>Home Office</v>
      </c>
      <c r="E408" s="26" t="str">
        <f>IFERROR(__xludf.DUMMYFUNCTION("""COMPUTED_VALUE"""),"West")</f>
        <v>West</v>
      </c>
      <c r="F408" s="26">
        <f>IFERROR(__xludf.DUMMYFUNCTION("""COMPUTED_VALUE"""),64.17)</f>
        <v>64.17</v>
      </c>
      <c r="G408" s="26">
        <f>IFERROR(__xludf.DUMMYFUNCTION("""COMPUTED_VALUE"""),3.0)</f>
        <v>3</v>
      </c>
      <c r="H408" s="26">
        <f>IFERROR(__xludf.DUMMYFUNCTION("""COMPUTED_VALUE"""),18.6093)</f>
        <v>18.6093</v>
      </c>
    </row>
    <row r="409">
      <c r="A409" s="26" t="str">
        <f>IFERROR(__xludf.DUMMYFUNCTION("""COMPUTED_VALUE"""),"CA-2015-143238")</f>
        <v>CA-2015-143238</v>
      </c>
      <c r="B409" s="27">
        <f>IFERROR(__xludf.DUMMYFUNCTION("""COMPUTED_VALUE"""),42253.0)</f>
        <v>42253</v>
      </c>
      <c r="C409" s="26" t="str">
        <f>IFERROR(__xludf.DUMMYFUNCTION("""COMPUTED_VALUE"""),"Lori Olson")</f>
        <v>Lori Olson</v>
      </c>
      <c r="D409" s="26" t="str">
        <f>IFERROR(__xludf.DUMMYFUNCTION("""COMPUTED_VALUE"""),"Corporate")</f>
        <v>Corporate</v>
      </c>
      <c r="E409" s="26" t="str">
        <f>IFERROR(__xludf.DUMMYFUNCTION("""COMPUTED_VALUE"""),"West")</f>
        <v>West</v>
      </c>
      <c r="F409" s="26">
        <f>IFERROR(__xludf.DUMMYFUNCTION("""COMPUTED_VALUE"""),46.32)</f>
        <v>46.32</v>
      </c>
      <c r="G409" s="26">
        <f>IFERROR(__xludf.DUMMYFUNCTION("""COMPUTED_VALUE"""),4.0)</f>
        <v>4</v>
      </c>
      <c r="H409" s="26">
        <f>IFERROR(__xludf.DUMMYFUNCTION("""COMPUTED_VALUE"""),18.0648)</f>
        <v>18.0648</v>
      </c>
    </row>
    <row r="410">
      <c r="A410" s="26" t="str">
        <f>IFERROR(__xludf.DUMMYFUNCTION("""COMPUTED_VALUE"""),"CA-2015-113404")</f>
        <v>CA-2015-113404</v>
      </c>
      <c r="B410" s="27">
        <f>IFERROR(__xludf.DUMMYFUNCTION("""COMPUTED_VALUE"""),42201.0)</f>
        <v>42201</v>
      </c>
      <c r="C410" s="26" t="str">
        <f>IFERROR(__xludf.DUMMYFUNCTION("""COMPUTED_VALUE"""),"Eleni McCrary")</f>
        <v>Eleni McCrary</v>
      </c>
      <c r="D410" s="26" t="str">
        <f>IFERROR(__xludf.DUMMYFUNCTION("""COMPUTED_VALUE"""),"Corporate")</f>
        <v>Corporate</v>
      </c>
      <c r="E410" s="26" t="str">
        <f>IFERROR(__xludf.DUMMYFUNCTION("""COMPUTED_VALUE"""),"West")</f>
        <v>West</v>
      </c>
      <c r="F410" s="26">
        <f>IFERROR(__xludf.DUMMYFUNCTION("""COMPUTED_VALUE"""),1348.704)</f>
        <v>1348.704</v>
      </c>
      <c r="G410" s="26">
        <f>IFERROR(__xludf.DUMMYFUNCTION("""COMPUTED_VALUE"""),6.0)</f>
        <v>6</v>
      </c>
      <c r="H410" s="26">
        <f>IFERROR(__xludf.DUMMYFUNCTION("""COMPUTED_VALUE"""),-219.1644)</f>
        <v>-219.1644</v>
      </c>
    </row>
    <row r="411">
      <c r="A411" s="26" t="str">
        <f>IFERROR(__xludf.DUMMYFUNCTION("""COMPUTED_VALUE"""),"US-2015-128090")</f>
        <v>US-2015-128090</v>
      </c>
      <c r="B411" s="27">
        <f>IFERROR(__xludf.DUMMYFUNCTION("""COMPUTED_VALUE"""),42232.0)</f>
        <v>42232</v>
      </c>
      <c r="C411" s="26" t="str">
        <f>IFERROR(__xludf.DUMMYFUNCTION("""COMPUTED_VALUE"""),"John Murray")</f>
        <v>John Murray</v>
      </c>
      <c r="D411" s="26" t="str">
        <f>IFERROR(__xludf.DUMMYFUNCTION("""COMPUTED_VALUE"""),"Consumer")</f>
        <v>Consumer</v>
      </c>
      <c r="E411" s="26" t="str">
        <f>IFERROR(__xludf.DUMMYFUNCTION("""COMPUTED_VALUE"""),"West")</f>
        <v>West</v>
      </c>
      <c r="F411" s="26">
        <f>IFERROR(__xludf.DUMMYFUNCTION("""COMPUTED_VALUE"""),2.304)</f>
        <v>2.304</v>
      </c>
      <c r="G411" s="26">
        <f>IFERROR(__xludf.DUMMYFUNCTION("""COMPUTED_VALUE"""),1.0)</f>
        <v>1</v>
      </c>
      <c r="H411" s="26">
        <f>IFERROR(__xludf.DUMMYFUNCTION("""COMPUTED_VALUE"""),0.2592)</f>
        <v>0.2592</v>
      </c>
    </row>
    <row r="412">
      <c r="A412" s="26" t="str">
        <f>IFERROR(__xludf.DUMMYFUNCTION("""COMPUTED_VALUE"""),"CA-2015-147788")</f>
        <v>CA-2015-147788</v>
      </c>
      <c r="B412" s="27">
        <f>IFERROR(__xludf.DUMMYFUNCTION("""COMPUTED_VALUE"""),42155.0)</f>
        <v>42155</v>
      </c>
      <c r="C412" s="26" t="str">
        <f>IFERROR(__xludf.DUMMYFUNCTION("""COMPUTED_VALUE"""),"Tamara Manning")</f>
        <v>Tamara Manning</v>
      </c>
      <c r="D412" s="26" t="str">
        <f>IFERROR(__xludf.DUMMYFUNCTION("""COMPUTED_VALUE"""),"Consumer")</f>
        <v>Consumer</v>
      </c>
      <c r="E412" s="26" t="str">
        <f>IFERROR(__xludf.DUMMYFUNCTION("""COMPUTED_VALUE"""),"West")</f>
        <v>West</v>
      </c>
      <c r="F412" s="26">
        <f>IFERROR(__xludf.DUMMYFUNCTION("""COMPUTED_VALUE"""),1406.86)</f>
        <v>1406.86</v>
      </c>
      <c r="G412" s="26">
        <f>IFERROR(__xludf.DUMMYFUNCTION("""COMPUTED_VALUE"""),7.0)</f>
        <v>7</v>
      </c>
      <c r="H412" s="26">
        <f>IFERROR(__xludf.DUMMYFUNCTION("""COMPUTED_VALUE"""),140.686)</f>
        <v>140.686</v>
      </c>
    </row>
    <row r="413">
      <c r="A413" s="26" t="str">
        <f>IFERROR(__xludf.DUMMYFUNCTION("""COMPUTED_VALUE"""),"CA-2015-162369")</f>
        <v>CA-2015-162369</v>
      </c>
      <c r="B413" s="27">
        <f>IFERROR(__xludf.DUMMYFUNCTION("""COMPUTED_VALUE"""),42231.0)</f>
        <v>42231</v>
      </c>
      <c r="C413" s="26" t="str">
        <f>IFERROR(__xludf.DUMMYFUNCTION("""COMPUTED_VALUE"""),"Tim Taslimi")</f>
        <v>Tim Taslimi</v>
      </c>
      <c r="D413" s="26" t="str">
        <f>IFERROR(__xludf.DUMMYFUNCTION("""COMPUTED_VALUE"""),"Corporate")</f>
        <v>Corporate</v>
      </c>
      <c r="E413" s="26" t="str">
        <f>IFERROR(__xludf.DUMMYFUNCTION("""COMPUTED_VALUE"""),"West")</f>
        <v>West</v>
      </c>
      <c r="F413" s="26">
        <f>IFERROR(__xludf.DUMMYFUNCTION("""COMPUTED_VALUE"""),323.1)</f>
        <v>323.1</v>
      </c>
      <c r="G413" s="26">
        <f>IFERROR(__xludf.DUMMYFUNCTION("""COMPUTED_VALUE"""),2.0)</f>
        <v>2</v>
      </c>
      <c r="H413" s="26">
        <f>IFERROR(__xludf.DUMMYFUNCTION("""COMPUTED_VALUE"""),61.389)</f>
        <v>61.389</v>
      </c>
    </row>
    <row r="414">
      <c r="A414" s="26" t="str">
        <f>IFERROR(__xludf.DUMMYFUNCTION("""COMPUTED_VALUE"""),"CA-2015-135538")</f>
        <v>CA-2015-135538</v>
      </c>
      <c r="B414" s="27">
        <f>IFERROR(__xludf.DUMMYFUNCTION("""COMPUTED_VALUE"""),42362.0)</f>
        <v>42362</v>
      </c>
      <c r="C414" s="26" t="str">
        <f>IFERROR(__xludf.DUMMYFUNCTION("""COMPUTED_VALUE"""),"Harold Ryan")</f>
        <v>Harold Ryan</v>
      </c>
      <c r="D414" s="26" t="str">
        <f>IFERROR(__xludf.DUMMYFUNCTION("""COMPUTED_VALUE"""),"Corporate")</f>
        <v>Corporate</v>
      </c>
      <c r="E414" s="26" t="str">
        <f>IFERROR(__xludf.DUMMYFUNCTION("""COMPUTED_VALUE"""),"West")</f>
        <v>West</v>
      </c>
      <c r="F414" s="26">
        <f>IFERROR(__xludf.DUMMYFUNCTION("""COMPUTED_VALUE"""),883.84)</f>
        <v>883.84</v>
      </c>
      <c r="G414" s="26">
        <f>IFERROR(__xludf.DUMMYFUNCTION("""COMPUTED_VALUE"""),4.0)</f>
        <v>4</v>
      </c>
      <c r="H414" s="26">
        <f>IFERROR(__xludf.DUMMYFUNCTION("""COMPUTED_VALUE"""),99.432)</f>
        <v>99.432</v>
      </c>
    </row>
    <row r="415">
      <c r="A415" s="26" t="str">
        <f>IFERROR(__xludf.DUMMYFUNCTION("""COMPUTED_VALUE"""),"US-2015-139759")</f>
        <v>US-2015-139759</v>
      </c>
      <c r="B415" s="27">
        <f>IFERROR(__xludf.DUMMYFUNCTION("""COMPUTED_VALUE"""),42241.0)</f>
        <v>42241</v>
      </c>
      <c r="C415" s="26" t="str">
        <f>IFERROR(__xludf.DUMMYFUNCTION("""COMPUTED_VALUE"""),"Nancy Lomonaco")</f>
        <v>Nancy Lomonaco</v>
      </c>
      <c r="D415" s="26" t="str">
        <f>IFERROR(__xludf.DUMMYFUNCTION("""COMPUTED_VALUE"""),"Home Office")</f>
        <v>Home Office</v>
      </c>
      <c r="E415" s="26" t="str">
        <f>IFERROR(__xludf.DUMMYFUNCTION("""COMPUTED_VALUE"""),"West")</f>
        <v>West</v>
      </c>
      <c r="F415" s="26">
        <f>IFERROR(__xludf.DUMMYFUNCTION("""COMPUTED_VALUE"""),40.784)</f>
        <v>40.784</v>
      </c>
      <c r="G415" s="26">
        <f>IFERROR(__xludf.DUMMYFUNCTION("""COMPUTED_VALUE"""),1.0)</f>
        <v>1</v>
      </c>
      <c r="H415" s="26">
        <f>IFERROR(__xludf.DUMMYFUNCTION("""COMPUTED_VALUE"""),4.5882)</f>
        <v>4.5882</v>
      </c>
    </row>
    <row r="416">
      <c r="A416" s="26" t="str">
        <f>IFERROR(__xludf.DUMMYFUNCTION("""COMPUTED_VALUE"""),"CA-2015-153220")</f>
        <v>CA-2015-153220</v>
      </c>
      <c r="B416" s="27">
        <f>IFERROR(__xludf.DUMMYFUNCTION("""COMPUTED_VALUE"""),42320.0)</f>
        <v>42320</v>
      </c>
      <c r="C416" s="26" t="str">
        <f>IFERROR(__xludf.DUMMYFUNCTION("""COMPUTED_VALUE"""),"Yoseph Carroll")</f>
        <v>Yoseph Carroll</v>
      </c>
      <c r="D416" s="26" t="str">
        <f>IFERROR(__xludf.DUMMYFUNCTION("""COMPUTED_VALUE"""),"Corporate")</f>
        <v>Corporate</v>
      </c>
      <c r="E416" s="26" t="str">
        <f>IFERROR(__xludf.DUMMYFUNCTION("""COMPUTED_VALUE"""),"West")</f>
        <v>West</v>
      </c>
      <c r="F416" s="26">
        <f>IFERROR(__xludf.DUMMYFUNCTION("""COMPUTED_VALUE"""),15.7)</f>
        <v>15.7</v>
      </c>
      <c r="G416" s="26">
        <f>IFERROR(__xludf.DUMMYFUNCTION("""COMPUTED_VALUE"""),5.0)</f>
        <v>5</v>
      </c>
      <c r="H416" s="26">
        <f>IFERROR(__xludf.DUMMYFUNCTION("""COMPUTED_VALUE"""),7.065)</f>
        <v>7.065</v>
      </c>
    </row>
    <row r="417">
      <c r="A417" s="26" t="str">
        <f>IFERROR(__xludf.DUMMYFUNCTION("""COMPUTED_VALUE"""),"CA-2015-121797")</f>
        <v>CA-2015-121797</v>
      </c>
      <c r="B417" s="27">
        <f>IFERROR(__xludf.DUMMYFUNCTION("""COMPUTED_VALUE"""),42034.0)</f>
        <v>42034</v>
      </c>
      <c r="C417" s="26" t="str">
        <f>IFERROR(__xludf.DUMMYFUNCTION("""COMPUTED_VALUE"""),"Charles Crestani")</f>
        <v>Charles Crestani</v>
      </c>
      <c r="D417" s="26" t="str">
        <f>IFERROR(__xludf.DUMMYFUNCTION("""COMPUTED_VALUE"""),"Consumer")</f>
        <v>Consumer</v>
      </c>
      <c r="E417" s="26" t="str">
        <f>IFERROR(__xludf.DUMMYFUNCTION("""COMPUTED_VALUE"""),"West")</f>
        <v>West</v>
      </c>
      <c r="F417" s="26">
        <f>IFERROR(__xludf.DUMMYFUNCTION("""COMPUTED_VALUE"""),227.36)</f>
        <v>227.36</v>
      </c>
      <c r="G417" s="26">
        <f>IFERROR(__xludf.DUMMYFUNCTION("""COMPUTED_VALUE"""),7.0)</f>
        <v>7</v>
      </c>
      <c r="H417" s="26">
        <f>IFERROR(__xludf.DUMMYFUNCTION("""COMPUTED_VALUE"""),81.8496)</f>
        <v>81.8496</v>
      </c>
    </row>
    <row r="418">
      <c r="A418" s="26" t="str">
        <f>IFERROR(__xludf.DUMMYFUNCTION("""COMPUTED_VALUE"""),"CA-2015-103723")</f>
        <v>CA-2015-103723</v>
      </c>
      <c r="B418" s="27">
        <f>IFERROR(__xludf.DUMMYFUNCTION("""COMPUTED_VALUE"""),42339.0)</f>
        <v>42339</v>
      </c>
      <c r="C418" s="26" t="str">
        <f>IFERROR(__xludf.DUMMYFUNCTION("""COMPUTED_VALUE"""),"Beth Thompson")</f>
        <v>Beth Thompson</v>
      </c>
      <c r="D418" s="26" t="str">
        <f>IFERROR(__xludf.DUMMYFUNCTION("""COMPUTED_VALUE"""),"Home Office")</f>
        <v>Home Office</v>
      </c>
      <c r="E418" s="26" t="str">
        <f>IFERROR(__xludf.DUMMYFUNCTION("""COMPUTED_VALUE"""),"West")</f>
        <v>West</v>
      </c>
      <c r="F418" s="26">
        <f>IFERROR(__xludf.DUMMYFUNCTION("""COMPUTED_VALUE"""),13.9)</f>
        <v>13.9</v>
      </c>
      <c r="G418" s="26">
        <f>IFERROR(__xludf.DUMMYFUNCTION("""COMPUTED_VALUE"""),5.0)</f>
        <v>5</v>
      </c>
      <c r="H418" s="26">
        <f>IFERROR(__xludf.DUMMYFUNCTION("""COMPUTED_VALUE"""),5.56)</f>
        <v>5.56</v>
      </c>
    </row>
    <row r="419">
      <c r="A419" s="26" t="str">
        <f>IFERROR(__xludf.DUMMYFUNCTION("""COMPUTED_VALUE"""),"CA-2015-129770")</f>
        <v>CA-2015-129770</v>
      </c>
      <c r="B419" s="27">
        <f>IFERROR(__xludf.DUMMYFUNCTION("""COMPUTED_VALUE"""),42056.0)</f>
        <v>42056</v>
      </c>
      <c r="C419" s="26" t="str">
        <f>IFERROR(__xludf.DUMMYFUNCTION("""COMPUTED_VALUE"""),"Joe Elijah")</f>
        <v>Joe Elijah</v>
      </c>
      <c r="D419" s="26" t="str">
        <f>IFERROR(__xludf.DUMMYFUNCTION("""COMPUTED_VALUE"""),"Consumer")</f>
        <v>Consumer</v>
      </c>
      <c r="E419" s="26" t="str">
        <f>IFERROR(__xludf.DUMMYFUNCTION("""COMPUTED_VALUE"""),"West")</f>
        <v>West</v>
      </c>
      <c r="F419" s="26">
        <f>IFERROR(__xludf.DUMMYFUNCTION("""COMPUTED_VALUE"""),49.12)</f>
        <v>49.12</v>
      </c>
      <c r="G419" s="26">
        <f>IFERROR(__xludf.DUMMYFUNCTION("""COMPUTED_VALUE"""),4.0)</f>
        <v>4</v>
      </c>
      <c r="H419" s="26">
        <f>IFERROR(__xludf.DUMMYFUNCTION("""COMPUTED_VALUE"""),23.0864)</f>
        <v>23.0864</v>
      </c>
    </row>
    <row r="420">
      <c r="A420" s="26" t="str">
        <f>IFERROR(__xludf.DUMMYFUNCTION("""COMPUTED_VALUE"""),"CA-2015-140144")</f>
        <v>CA-2015-140144</v>
      </c>
      <c r="B420" s="27">
        <f>IFERROR(__xludf.DUMMYFUNCTION("""COMPUTED_VALUE"""),42175.0)</f>
        <v>42175</v>
      </c>
      <c r="C420" s="26" t="str">
        <f>IFERROR(__xludf.DUMMYFUNCTION("""COMPUTED_VALUE"""),"Stewart Carmichael")</f>
        <v>Stewart Carmichael</v>
      </c>
      <c r="D420" s="26" t="str">
        <f>IFERROR(__xludf.DUMMYFUNCTION("""COMPUTED_VALUE"""),"Corporate")</f>
        <v>Corporate</v>
      </c>
      <c r="E420" s="26" t="str">
        <f>IFERROR(__xludf.DUMMYFUNCTION("""COMPUTED_VALUE"""),"West")</f>
        <v>West</v>
      </c>
      <c r="F420" s="26">
        <f>IFERROR(__xludf.DUMMYFUNCTION("""COMPUTED_VALUE"""),257.64)</f>
        <v>257.64</v>
      </c>
      <c r="G420" s="26">
        <f>IFERROR(__xludf.DUMMYFUNCTION("""COMPUTED_VALUE"""),6.0)</f>
        <v>6</v>
      </c>
      <c r="H420" s="26">
        <f>IFERROR(__xludf.DUMMYFUNCTION("""COMPUTED_VALUE"""),100.4796)</f>
        <v>100.4796</v>
      </c>
    </row>
    <row r="421">
      <c r="A421" s="26" t="str">
        <f>IFERROR(__xludf.DUMMYFUNCTION("""COMPUTED_VALUE"""),"CA-2015-155306")</f>
        <v>CA-2015-155306</v>
      </c>
      <c r="B421" s="27">
        <f>IFERROR(__xludf.DUMMYFUNCTION("""COMPUTED_VALUE"""),42111.0)</f>
        <v>42111</v>
      </c>
      <c r="C421" s="26" t="str">
        <f>IFERROR(__xludf.DUMMYFUNCTION("""COMPUTED_VALUE"""),"George Ashbrook")</f>
        <v>George Ashbrook</v>
      </c>
      <c r="D421" s="26" t="str">
        <f>IFERROR(__xludf.DUMMYFUNCTION("""COMPUTED_VALUE"""),"Consumer")</f>
        <v>Consumer</v>
      </c>
      <c r="E421" s="26" t="str">
        <f>IFERROR(__xludf.DUMMYFUNCTION("""COMPUTED_VALUE"""),"West")</f>
        <v>West</v>
      </c>
      <c r="F421" s="26">
        <f>IFERROR(__xludf.DUMMYFUNCTION("""COMPUTED_VALUE"""),5.56)</f>
        <v>5.56</v>
      </c>
      <c r="G421" s="26">
        <f>IFERROR(__xludf.DUMMYFUNCTION("""COMPUTED_VALUE"""),2.0)</f>
        <v>2</v>
      </c>
      <c r="H421" s="26">
        <f>IFERROR(__xludf.DUMMYFUNCTION("""COMPUTED_VALUE"""),2.224)</f>
        <v>2.224</v>
      </c>
    </row>
    <row r="422">
      <c r="A422" s="26" t="str">
        <f>IFERROR(__xludf.DUMMYFUNCTION("""COMPUTED_VALUE"""),"CA-2015-127019")</f>
        <v>CA-2015-127019</v>
      </c>
      <c r="B422" s="27">
        <f>IFERROR(__xludf.DUMMYFUNCTION("""COMPUTED_VALUE"""),42359.0)</f>
        <v>42359</v>
      </c>
      <c r="C422" s="26" t="str">
        <f>IFERROR(__xludf.DUMMYFUNCTION("""COMPUTED_VALUE"""),"Elpida Rittenbach")</f>
        <v>Elpida Rittenbach</v>
      </c>
      <c r="D422" s="26" t="str">
        <f>IFERROR(__xludf.DUMMYFUNCTION("""COMPUTED_VALUE"""),"Corporate")</f>
        <v>Corporate</v>
      </c>
      <c r="E422" s="26" t="str">
        <f>IFERROR(__xludf.DUMMYFUNCTION("""COMPUTED_VALUE"""),"West")</f>
        <v>West</v>
      </c>
      <c r="F422" s="26">
        <f>IFERROR(__xludf.DUMMYFUNCTION("""COMPUTED_VALUE"""),60.984)</f>
        <v>60.984</v>
      </c>
      <c r="G422" s="26">
        <f>IFERROR(__xludf.DUMMYFUNCTION("""COMPUTED_VALUE"""),7.0)</f>
        <v>7</v>
      </c>
      <c r="H422" s="26">
        <f>IFERROR(__xludf.DUMMYFUNCTION("""COMPUTED_VALUE"""),4.5738)</f>
        <v>4.5738</v>
      </c>
    </row>
    <row r="423">
      <c r="A423" s="26" t="str">
        <f>IFERROR(__xludf.DUMMYFUNCTION("""COMPUTED_VALUE"""),"CA-2015-138534")</f>
        <v>CA-2015-138534</v>
      </c>
      <c r="B423" s="27">
        <f>IFERROR(__xludf.DUMMYFUNCTION("""COMPUTED_VALUE"""),42202.0)</f>
        <v>42202</v>
      </c>
      <c r="C423" s="26" t="str">
        <f>IFERROR(__xludf.DUMMYFUNCTION("""COMPUTED_VALUE"""),"Jessica Myrick")</f>
        <v>Jessica Myrick</v>
      </c>
      <c r="D423" s="26" t="str">
        <f>IFERROR(__xludf.DUMMYFUNCTION("""COMPUTED_VALUE"""),"Consumer")</f>
        <v>Consumer</v>
      </c>
      <c r="E423" s="26" t="str">
        <f>IFERROR(__xludf.DUMMYFUNCTION("""COMPUTED_VALUE"""),"West")</f>
        <v>West</v>
      </c>
      <c r="F423" s="26">
        <f>IFERROR(__xludf.DUMMYFUNCTION("""COMPUTED_VALUE"""),195.466)</f>
        <v>195.466</v>
      </c>
      <c r="G423" s="26">
        <f>IFERROR(__xludf.DUMMYFUNCTION("""COMPUTED_VALUE"""),2.0)</f>
        <v>2</v>
      </c>
      <c r="H423" s="26">
        <f>IFERROR(__xludf.DUMMYFUNCTION("""COMPUTED_VALUE"""),-13.7976)</f>
        <v>-13.7976</v>
      </c>
    </row>
    <row r="424">
      <c r="A424" s="26" t="str">
        <f>IFERROR(__xludf.DUMMYFUNCTION("""COMPUTED_VALUE"""),"CA-2015-149972")</f>
        <v>CA-2015-149972</v>
      </c>
      <c r="B424" s="27">
        <f>IFERROR(__xludf.DUMMYFUNCTION("""COMPUTED_VALUE"""),42268.0)</f>
        <v>42268</v>
      </c>
      <c r="C424" s="26" t="str">
        <f>IFERROR(__xludf.DUMMYFUNCTION("""COMPUTED_VALUE"""),"Cynthia Delaney")</f>
        <v>Cynthia Delaney</v>
      </c>
      <c r="D424" s="26" t="str">
        <f>IFERROR(__xludf.DUMMYFUNCTION("""COMPUTED_VALUE"""),"Home Office")</f>
        <v>Home Office</v>
      </c>
      <c r="E424" s="26" t="str">
        <f>IFERROR(__xludf.DUMMYFUNCTION("""COMPUTED_VALUE"""),"West")</f>
        <v>West</v>
      </c>
      <c r="F424" s="26">
        <f>IFERROR(__xludf.DUMMYFUNCTION("""COMPUTED_VALUE"""),601.536)</f>
        <v>601.536</v>
      </c>
      <c r="G424" s="26">
        <f>IFERROR(__xludf.DUMMYFUNCTION("""COMPUTED_VALUE"""),4.0)</f>
        <v>4</v>
      </c>
      <c r="H424" s="26">
        <f>IFERROR(__xludf.DUMMYFUNCTION("""COMPUTED_VALUE"""),0.0)</f>
        <v>0</v>
      </c>
    </row>
    <row r="425">
      <c r="A425" s="26" t="str">
        <f>IFERROR(__xludf.DUMMYFUNCTION("""COMPUTED_VALUE"""),"US-2015-110163")</f>
        <v>US-2015-110163</v>
      </c>
      <c r="B425" s="27">
        <f>IFERROR(__xludf.DUMMYFUNCTION("""COMPUTED_VALUE"""),42309.0)</f>
        <v>42309</v>
      </c>
      <c r="C425" s="26" t="str">
        <f>IFERROR(__xludf.DUMMYFUNCTION("""COMPUTED_VALUE"""),"Guy Armstrong")</f>
        <v>Guy Armstrong</v>
      </c>
      <c r="D425" s="26" t="str">
        <f>IFERROR(__xludf.DUMMYFUNCTION("""COMPUTED_VALUE"""),"Consumer")</f>
        <v>Consumer</v>
      </c>
      <c r="E425" s="26" t="str">
        <f>IFERROR(__xludf.DUMMYFUNCTION("""COMPUTED_VALUE"""),"West")</f>
        <v>West</v>
      </c>
      <c r="F425" s="26">
        <f>IFERROR(__xludf.DUMMYFUNCTION("""COMPUTED_VALUE"""),7.88)</f>
        <v>7.88</v>
      </c>
      <c r="G425" s="26">
        <f>IFERROR(__xludf.DUMMYFUNCTION("""COMPUTED_VALUE"""),1.0)</f>
        <v>1</v>
      </c>
      <c r="H425" s="26">
        <f>IFERROR(__xludf.DUMMYFUNCTION("""COMPUTED_VALUE"""),1.773)</f>
        <v>1.773</v>
      </c>
    </row>
    <row r="426">
      <c r="A426" s="26" t="str">
        <f>IFERROR(__xludf.DUMMYFUNCTION("""COMPUTED_VALUE"""),"CA-2015-159380")</f>
        <v>CA-2015-159380</v>
      </c>
      <c r="B426" s="27">
        <f>IFERROR(__xludf.DUMMYFUNCTION("""COMPUTED_VALUE"""),42136.0)</f>
        <v>42136</v>
      </c>
      <c r="C426" s="26" t="str">
        <f>IFERROR(__xludf.DUMMYFUNCTION("""COMPUTED_VALUE"""),"Cindy Stewart")</f>
        <v>Cindy Stewart</v>
      </c>
      <c r="D426" s="26" t="str">
        <f>IFERROR(__xludf.DUMMYFUNCTION("""COMPUTED_VALUE"""),"Consumer")</f>
        <v>Consumer</v>
      </c>
      <c r="E426" s="26" t="str">
        <f>IFERROR(__xludf.DUMMYFUNCTION("""COMPUTED_VALUE"""),"West")</f>
        <v>West</v>
      </c>
      <c r="F426" s="26">
        <f>IFERROR(__xludf.DUMMYFUNCTION("""COMPUTED_VALUE"""),12.84)</f>
        <v>12.84</v>
      </c>
      <c r="G426" s="26">
        <f>IFERROR(__xludf.DUMMYFUNCTION("""COMPUTED_VALUE"""),3.0)</f>
        <v>3</v>
      </c>
      <c r="H426" s="26">
        <f>IFERROR(__xludf.DUMMYFUNCTION("""COMPUTED_VALUE"""),5.778)</f>
        <v>5.778</v>
      </c>
    </row>
    <row r="427">
      <c r="A427" s="26" t="str">
        <f>IFERROR(__xludf.DUMMYFUNCTION("""COMPUTED_VALUE"""),"CA-2015-148635")</f>
        <v>CA-2015-148635</v>
      </c>
      <c r="B427" s="27">
        <f>IFERROR(__xludf.DUMMYFUNCTION("""COMPUTED_VALUE"""),42210.0)</f>
        <v>42210</v>
      </c>
      <c r="C427" s="26" t="str">
        <f>IFERROR(__xludf.DUMMYFUNCTION("""COMPUTED_VALUE"""),"Michelle Huthwaite")</f>
        <v>Michelle Huthwaite</v>
      </c>
      <c r="D427" s="26" t="str">
        <f>IFERROR(__xludf.DUMMYFUNCTION("""COMPUTED_VALUE"""),"Consumer")</f>
        <v>Consumer</v>
      </c>
      <c r="E427" s="26" t="str">
        <f>IFERROR(__xludf.DUMMYFUNCTION("""COMPUTED_VALUE"""),"West")</f>
        <v>West</v>
      </c>
      <c r="F427" s="26">
        <f>IFERROR(__xludf.DUMMYFUNCTION("""COMPUTED_VALUE"""),9.42)</f>
        <v>9.42</v>
      </c>
      <c r="G427" s="26">
        <f>IFERROR(__xludf.DUMMYFUNCTION("""COMPUTED_VALUE"""),2.0)</f>
        <v>2</v>
      </c>
      <c r="H427" s="26">
        <f>IFERROR(__xludf.DUMMYFUNCTION("""COMPUTED_VALUE"""),0.471)</f>
        <v>0.471</v>
      </c>
    </row>
    <row r="428">
      <c r="A428" s="26" t="str">
        <f>IFERROR(__xludf.DUMMYFUNCTION("""COMPUTED_VALUE"""),"CA-2015-168564")</f>
        <v>CA-2015-168564</v>
      </c>
      <c r="B428" s="27">
        <f>IFERROR(__xludf.DUMMYFUNCTION("""COMPUTED_VALUE"""),42224.0)</f>
        <v>42224</v>
      </c>
      <c r="C428" s="26" t="str">
        <f>IFERROR(__xludf.DUMMYFUNCTION("""COMPUTED_VALUE"""),"Thomas Thornton")</f>
        <v>Thomas Thornton</v>
      </c>
      <c r="D428" s="26" t="str">
        <f>IFERROR(__xludf.DUMMYFUNCTION("""COMPUTED_VALUE"""),"Consumer")</f>
        <v>Consumer</v>
      </c>
      <c r="E428" s="26" t="str">
        <f>IFERROR(__xludf.DUMMYFUNCTION("""COMPUTED_VALUE"""),"West")</f>
        <v>West</v>
      </c>
      <c r="F428" s="26">
        <f>IFERROR(__xludf.DUMMYFUNCTION("""COMPUTED_VALUE"""),6.608)</f>
        <v>6.608</v>
      </c>
      <c r="G428" s="26">
        <f>IFERROR(__xludf.DUMMYFUNCTION("""COMPUTED_VALUE"""),2.0)</f>
        <v>2</v>
      </c>
      <c r="H428" s="26">
        <f>IFERROR(__xludf.DUMMYFUNCTION("""COMPUTED_VALUE"""),2.2302)</f>
        <v>2.2302</v>
      </c>
    </row>
    <row r="429">
      <c r="A429" s="26" t="str">
        <f>IFERROR(__xludf.DUMMYFUNCTION("""COMPUTED_VALUE"""),"CA-2015-158456")</f>
        <v>CA-2015-158456</v>
      </c>
      <c r="B429" s="27">
        <f>IFERROR(__xludf.DUMMYFUNCTION("""COMPUTED_VALUE"""),42362.0)</f>
        <v>42362</v>
      </c>
      <c r="C429" s="26" t="str">
        <f>IFERROR(__xludf.DUMMYFUNCTION("""COMPUTED_VALUE"""),"Kean Takahito")</f>
        <v>Kean Takahito</v>
      </c>
      <c r="D429" s="26" t="str">
        <f>IFERROR(__xludf.DUMMYFUNCTION("""COMPUTED_VALUE"""),"Consumer")</f>
        <v>Consumer</v>
      </c>
      <c r="E429" s="26" t="str">
        <f>IFERROR(__xludf.DUMMYFUNCTION("""COMPUTED_VALUE"""),"West")</f>
        <v>West</v>
      </c>
      <c r="F429" s="26">
        <f>IFERROR(__xludf.DUMMYFUNCTION("""COMPUTED_VALUE"""),19.936)</f>
        <v>19.936</v>
      </c>
      <c r="G429" s="26">
        <f>IFERROR(__xludf.DUMMYFUNCTION("""COMPUTED_VALUE"""),4.0)</f>
        <v>4</v>
      </c>
      <c r="H429" s="26">
        <f>IFERROR(__xludf.DUMMYFUNCTION("""COMPUTED_VALUE"""),7.2268)</f>
        <v>7.2268</v>
      </c>
    </row>
    <row r="430">
      <c r="A430" s="26" t="str">
        <f>IFERROR(__xludf.DUMMYFUNCTION("""COMPUTED_VALUE"""),"CA-2015-123568")</f>
        <v>CA-2015-123568</v>
      </c>
      <c r="B430" s="27">
        <f>IFERROR(__xludf.DUMMYFUNCTION("""COMPUTED_VALUE"""),42316.0)</f>
        <v>42316</v>
      </c>
      <c r="C430" s="26" t="str">
        <f>IFERROR(__xludf.DUMMYFUNCTION("""COMPUTED_VALUE"""),"Sanjit Chand")</f>
        <v>Sanjit Chand</v>
      </c>
      <c r="D430" s="26" t="str">
        <f>IFERROR(__xludf.DUMMYFUNCTION("""COMPUTED_VALUE"""),"Consumer")</f>
        <v>Consumer</v>
      </c>
      <c r="E430" s="26" t="str">
        <f>IFERROR(__xludf.DUMMYFUNCTION("""COMPUTED_VALUE"""),"West")</f>
        <v>West</v>
      </c>
      <c r="F430" s="26">
        <f>IFERROR(__xludf.DUMMYFUNCTION("""COMPUTED_VALUE"""),5.04)</f>
        <v>5.04</v>
      </c>
      <c r="G430" s="26">
        <f>IFERROR(__xludf.DUMMYFUNCTION("""COMPUTED_VALUE"""),3.0)</f>
        <v>3</v>
      </c>
      <c r="H430" s="26">
        <f>IFERROR(__xludf.DUMMYFUNCTION("""COMPUTED_VALUE"""),0.2016)</f>
        <v>0.2016</v>
      </c>
    </row>
    <row r="431">
      <c r="A431" s="26" t="str">
        <f>IFERROR(__xludf.DUMMYFUNCTION("""COMPUTED_VALUE"""),"CA-2015-126137")</f>
        <v>CA-2015-126137</v>
      </c>
      <c r="B431" s="27">
        <f>IFERROR(__xludf.DUMMYFUNCTION("""COMPUTED_VALUE"""),42280.0)</f>
        <v>42280</v>
      </c>
      <c r="C431" s="26" t="str">
        <f>IFERROR(__xludf.DUMMYFUNCTION("""COMPUTED_VALUE"""),"Bruce Stewart")</f>
        <v>Bruce Stewart</v>
      </c>
      <c r="D431" s="26" t="str">
        <f>IFERROR(__xludf.DUMMYFUNCTION("""COMPUTED_VALUE"""),"Consumer")</f>
        <v>Consumer</v>
      </c>
      <c r="E431" s="26" t="str">
        <f>IFERROR(__xludf.DUMMYFUNCTION("""COMPUTED_VALUE"""),"West")</f>
        <v>West</v>
      </c>
      <c r="F431" s="26">
        <f>IFERROR(__xludf.DUMMYFUNCTION("""COMPUTED_VALUE"""),120.666)</f>
        <v>120.666</v>
      </c>
      <c r="G431" s="26">
        <f>IFERROR(__xludf.DUMMYFUNCTION("""COMPUTED_VALUE"""),2.0)</f>
        <v>2</v>
      </c>
      <c r="H431" s="26">
        <f>IFERROR(__xludf.DUMMYFUNCTION("""COMPUTED_VALUE"""),18.4548)</f>
        <v>18.4548</v>
      </c>
    </row>
    <row r="432">
      <c r="A432" s="26" t="str">
        <f>IFERROR(__xludf.DUMMYFUNCTION("""COMPUTED_VALUE"""),"CA-2015-149384")</f>
        <v>CA-2015-149384</v>
      </c>
      <c r="B432" s="27">
        <f>IFERROR(__xludf.DUMMYFUNCTION("""COMPUTED_VALUE"""),42195.0)</f>
        <v>42195</v>
      </c>
      <c r="C432" s="26" t="str">
        <f>IFERROR(__xludf.DUMMYFUNCTION("""COMPUTED_VALUE"""),"Eric Hoffmann")</f>
        <v>Eric Hoffmann</v>
      </c>
      <c r="D432" s="26" t="str">
        <f>IFERROR(__xludf.DUMMYFUNCTION("""COMPUTED_VALUE"""),"Consumer")</f>
        <v>Consumer</v>
      </c>
      <c r="E432" s="26" t="str">
        <f>IFERROR(__xludf.DUMMYFUNCTION("""COMPUTED_VALUE"""),"West")</f>
        <v>West</v>
      </c>
      <c r="F432" s="26">
        <f>IFERROR(__xludf.DUMMYFUNCTION("""COMPUTED_VALUE"""),3.366)</f>
        <v>3.366</v>
      </c>
      <c r="G432" s="26">
        <f>IFERROR(__xludf.DUMMYFUNCTION("""COMPUTED_VALUE"""),3.0)</f>
        <v>3</v>
      </c>
      <c r="H432" s="26">
        <f>IFERROR(__xludf.DUMMYFUNCTION("""COMPUTED_VALUE"""),-2.244)</f>
        <v>-2.244</v>
      </c>
    </row>
    <row r="433">
      <c r="A433" s="26" t="str">
        <f>IFERROR(__xludf.DUMMYFUNCTION("""COMPUTED_VALUE"""),"CA-2015-155145")</f>
        <v>CA-2015-155145</v>
      </c>
      <c r="B433" s="27">
        <f>IFERROR(__xludf.DUMMYFUNCTION("""COMPUTED_VALUE"""),42365.0)</f>
        <v>42365</v>
      </c>
      <c r="C433" s="26" t="str">
        <f>IFERROR(__xludf.DUMMYFUNCTION("""COMPUTED_VALUE"""),"Kean Nguyen")</f>
        <v>Kean Nguyen</v>
      </c>
      <c r="D433" s="26" t="str">
        <f>IFERROR(__xludf.DUMMYFUNCTION("""COMPUTED_VALUE"""),"Corporate")</f>
        <v>Corporate</v>
      </c>
      <c r="E433" s="26" t="str">
        <f>IFERROR(__xludf.DUMMYFUNCTION("""COMPUTED_VALUE"""),"West")</f>
        <v>West</v>
      </c>
      <c r="F433" s="26">
        <f>IFERROR(__xludf.DUMMYFUNCTION("""COMPUTED_VALUE"""),7.92)</f>
        <v>7.92</v>
      </c>
      <c r="G433" s="26">
        <f>IFERROR(__xludf.DUMMYFUNCTION("""COMPUTED_VALUE"""),8.0)</f>
        <v>8</v>
      </c>
      <c r="H433" s="26">
        <f>IFERROR(__xludf.DUMMYFUNCTION("""COMPUTED_VALUE"""),3.4848)</f>
        <v>3.4848</v>
      </c>
    </row>
    <row r="434">
      <c r="A434" s="26" t="str">
        <f>IFERROR(__xludf.DUMMYFUNCTION("""COMPUTED_VALUE"""),"CA-2015-146038")</f>
        <v>CA-2015-146038</v>
      </c>
      <c r="B434" s="27">
        <f>IFERROR(__xludf.DUMMYFUNCTION("""COMPUTED_VALUE"""),42044.0)</f>
        <v>42044</v>
      </c>
      <c r="C434" s="26" t="str">
        <f>IFERROR(__xludf.DUMMYFUNCTION("""COMPUTED_VALUE"""),"Sarah Jordon")</f>
        <v>Sarah Jordon</v>
      </c>
      <c r="D434" s="26" t="str">
        <f>IFERROR(__xludf.DUMMYFUNCTION("""COMPUTED_VALUE"""),"Consumer")</f>
        <v>Consumer</v>
      </c>
      <c r="E434" s="26" t="str">
        <f>IFERROR(__xludf.DUMMYFUNCTION("""COMPUTED_VALUE"""),"West")</f>
        <v>West</v>
      </c>
      <c r="F434" s="26">
        <f>IFERROR(__xludf.DUMMYFUNCTION("""COMPUTED_VALUE"""),203.92)</f>
        <v>203.92</v>
      </c>
      <c r="G434" s="26">
        <f>IFERROR(__xludf.DUMMYFUNCTION("""COMPUTED_VALUE"""),5.0)</f>
        <v>5</v>
      </c>
      <c r="H434" s="26">
        <f>IFERROR(__xludf.DUMMYFUNCTION("""COMPUTED_VALUE"""),22.941)</f>
        <v>22.941</v>
      </c>
    </row>
    <row r="435">
      <c r="A435" s="26" t="str">
        <f>IFERROR(__xludf.DUMMYFUNCTION("""COMPUTED_VALUE"""),"CA-2015-157770")</f>
        <v>CA-2015-157770</v>
      </c>
      <c r="B435" s="27">
        <f>IFERROR(__xludf.DUMMYFUNCTION("""COMPUTED_VALUE"""),42351.0)</f>
        <v>42351</v>
      </c>
      <c r="C435" s="26" t="str">
        <f>IFERROR(__xludf.DUMMYFUNCTION("""COMPUTED_VALUE"""),"Rob Dowd")</f>
        <v>Rob Dowd</v>
      </c>
      <c r="D435" s="26" t="str">
        <f>IFERROR(__xludf.DUMMYFUNCTION("""COMPUTED_VALUE"""),"Consumer")</f>
        <v>Consumer</v>
      </c>
      <c r="E435" s="26" t="str">
        <f>IFERROR(__xludf.DUMMYFUNCTION("""COMPUTED_VALUE"""),"West")</f>
        <v>West</v>
      </c>
      <c r="F435" s="26">
        <f>IFERROR(__xludf.DUMMYFUNCTION("""COMPUTED_VALUE"""),494.376)</f>
        <v>494.376</v>
      </c>
      <c r="G435" s="26">
        <f>IFERROR(__xludf.DUMMYFUNCTION("""COMPUTED_VALUE"""),3.0)</f>
        <v>3</v>
      </c>
      <c r="H435" s="26">
        <f>IFERROR(__xludf.DUMMYFUNCTION("""COMPUTED_VALUE"""),49.4376)</f>
        <v>49.4376</v>
      </c>
    </row>
    <row r="436">
      <c r="A436" s="26" t="str">
        <f>IFERROR(__xludf.DUMMYFUNCTION("""COMPUTED_VALUE"""),"US-2015-110569")</f>
        <v>US-2015-110569</v>
      </c>
      <c r="B436" s="27">
        <f>IFERROR(__xludf.DUMMYFUNCTION("""COMPUTED_VALUE"""),42147.0)</f>
        <v>42147</v>
      </c>
      <c r="C436" s="26" t="str">
        <f>IFERROR(__xludf.DUMMYFUNCTION("""COMPUTED_VALUE"""),"Emily Burns")</f>
        <v>Emily Burns</v>
      </c>
      <c r="D436" s="26" t="str">
        <f>IFERROR(__xludf.DUMMYFUNCTION("""COMPUTED_VALUE"""),"Consumer")</f>
        <v>Consumer</v>
      </c>
      <c r="E436" s="26" t="str">
        <f>IFERROR(__xludf.DUMMYFUNCTION("""COMPUTED_VALUE"""),"West")</f>
        <v>West</v>
      </c>
      <c r="F436" s="26">
        <f>IFERROR(__xludf.DUMMYFUNCTION("""COMPUTED_VALUE"""),19.194)</f>
        <v>19.194</v>
      </c>
      <c r="G436" s="26">
        <f>IFERROR(__xludf.DUMMYFUNCTION("""COMPUTED_VALUE"""),7.0)</f>
        <v>7</v>
      </c>
      <c r="H436" s="26">
        <f>IFERROR(__xludf.DUMMYFUNCTION("""COMPUTED_VALUE"""),-12.796)</f>
        <v>-12.796</v>
      </c>
    </row>
    <row r="437">
      <c r="A437" s="26" t="str">
        <f>IFERROR(__xludf.DUMMYFUNCTION("""COMPUTED_VALUE"""),"CA-2015-165057")</f>
        <v>CA-2015-165057</v>
      </c>
      <c r="B437" s="27">
        <f>IFERROR(__xludf.DUMMYFUNCTION("""COMPUTED_VALUE"""),42258.0)</f>
        <v>42258</v>
      </c>
      <c r="C437" s="26" t="str">
        <f>IFERROR(__xludf.DUMMYFUNCTION("""COMPUTED_VALUE"""),"Steven Cartwright")</f>
        <v>Steven Cartwright</v>
      </c>
      <c r="D437" s="26" t="str">
        <f>IFERROR(__xludf.DUMMYFUNCTION("""COMPUTED_VALUE"""),"Consumer")</f>
        <v>Consumer</v>
      </c>
      <c r="E437" s="26" t="str">
        <f>IFERROR(__xludf.DUMMYFUNCTION("""COMPUTED_VALUE"""),"West")</f>
        <v>West</v>
      </c>
      <c r="F437" s="26">
        <f>IFERROR(__xludf.DUMMYFUNCTION("""COMPUTED_VALUE"""),181.35)</f>
        <v>181.35</v>
      </c>
      <c r="G437" s="26">
        <f>IFERROR(__xludf.DUMMYFUNCTION("""COMPUTED_VALUE"""),9.0)</f>
        <v>9</v>
      </c>
      <c r="H437" s="26">
        <f>IFERROR(__xludf.DUMMYFUNCTION("""COMPUTED_VALUE"""),48.9645)</f>
        <v>48.9645</v>
      </c>
    </row>
    <row r="438">
      <c r="A438" s="26" t="str">
        <f>IFERROR(__xludf.DUMMYFUNCTION("""COMPUTED_VALUE"""),"CA-2015-112014")</f>
        <v>CA-2015-112014</v>
      </c>
      <c r="B438" s="27">
        <f>IFERROR(__xludf.DUMMYFUNCTION("""COMPUTED_VALUE"""),42229.0)</f>
        <v>42229</v>
      </c>
      <c r="C438" s="26" t="str">
        <f>IFERROR(__xludf.DUMMYFUNCTION("""COMPUTED_VALUE"""),"Odella Nelson")</f>
        <v>Odella Nelson</v>
      </c>
      <c r="D438" s="26" t="str">
        <f>IFERROR(__xludf.DUMMYFUNCTION("""COMPUTED_VALUE"""),"Corporate")</f>
        <v>Corporate</v>
      </c>
      <c r="E438" s="26" t="str">
        <f>IFERROR(__xludf.DUMMYFUNCTION("""COMPUTED_VALUE"""),"West")</f>
        <v>West</v>
      </c>
      <c r="F438" s="26">
        <f>IFERROR(__xludf.DUMMYFUNCTION("""COMPUTED_VALUE"""),50.8)</f>
        <v>50.8</v>
      </c>
      <c r="G438" s="26">
        <f>IFERROR(__xludf.DUMMYFUNCTION("""COMPUTED_VALUE"""),5.0)</f>
        <v>5</v>
      </c>
      <c r="H438" s="26">
        <f>IFERROR(__xludf.DUMMYFUNCTION("""COMPUTED_VALUE"""),13.208)</f>
        <v>13.208</v>
      </c>
    </row>
    <row r="439">
      <c r="A439" s="26" t="str">
        <f>IFERROR(__xludf.DUMMYFUNCTION("""COMPUTED_VALUE"""),"CA-2015-115511")</f>
        <v>CA-2015-115511</v>
      </c>
      <c r="B439" s="27">
        <f>IFERROR(__xludf.DUMMYFUNCTION("""COMPUTED_VALUE"""),42329.0)</f>
        <v>42329</v>
      </c>
      <c r="C439" s="26" t="str">
        <f>IFERROR(__xludf.DUMMYFUNCTION("""COMPUTED_VALUE"""),"Natalie Webber")</f>
        <v>Natalie Webber</v>
      </c>
      <c r="D439" s="26" t="str">
        <f>IFERROR(__xludf.DUMMYFUNCTION("""COMPUTED_VALUE"""),"Consumer")</f>
        <v>Consumer</v>
      </c>
      <c r="E439" s="26" t="str">
        <f>IFERROR(__xludf.DUMMYFUNCTION("""COMPUTED_VALUE"""),"West")</f>
        <v>West</v>
      </c>
      <c r="F439" s="26">
        <f>IFERROR(__xludf.DUMMYFUNCTION("""COMPUTED_VALUE"""),141.96)</f>
        <v>141.96</v>
      </c>
      <c r="G439" s="26">
        <f>IFERROR(__xludf.DUMMYFUNCTION("""COMPUTED_VALUE"""),2.0)</f>
        <v>2</v>
      </c>
      <c r="H439" s="26">
        <f>IFERROR(__xludf.DUMMYFUNCTION("""COMPUTED_VALUE"""),41.1684)</f>
        <v>41.1684</v>
      </c>
    </row>
    <row r="440">
      <c r="A440" s="26" t="str">
        <f>IFERROR(__xludf.DUMMYFUNCTION("""COMPUTED_VALUE"""),"CA-2015-152527")</f>
        <v>CA-2015-152527</v>
      </c>
      <c r="B440" s="27">
        <f>IFERROR(__xludf.DUMMYFUNCTION("""COMPUTED_VALUE"""),42294.0)</f>
        <v>42294</v>
      </c>
      <c r="C440" s="26" t="str">
        <f>IFERROR(__xludf.DUMMYFUNCTION("""COMPUTED_VALUE"""),"Charlotte Melton")</f>
        <v>Charlotte Melton</v>
      </c>
      <c r="D440" s="26" t="str">
        <f>IFERROR(__xludf.DUMMYFUNCTION("""COMPUTED_VALUE"""),"Consumer")</f>
        <v>Consumer</v>
      </c>
      <c r="E440" s="26" t="str">
        <f>IFERROR(__xludf.DUMMYFUNCTION("""COMPUTED_VALUE"""),"West")</f>
        <v>West</v>
      </c>
      <c r="F440" s="26">
        <f>IFERROR(__xludf.DUMMYFUNCTION("""COMPUTED_VALUE"""),77.88)</f>
        <v>77.88</v>
      </c>
      <c r="G440" s="26">
        <f>IFERROR(__xludf.DUMMYFUNCTION("""COMPUTED_VALUE"""),2.0)</f>
        <v>2</v>
      </c>
      <c r="H440" s="26">
        <f>IFERROR(__xludf.DUMMYFUNCTION("""COMPUTED_VALUE"""),3.894)</f>
        <v>3.894</v>
      </c>
    </row>
    <row r="441">
      <c r="A441" s="26" t="str">
        <f>IFERROR(__xludf.DUMMYFUNCTION("""COMPUTED_VALUE"""),"CA-2015-151841")</f>
        <v>CA-2015-151841</v>
      </c>
      <c r="B441" s="27">
        <f>IFERROR(__xludf.DUMMYFUNCTION("""COMPUTED_VALUE"""),42121.0)</f>
        <v>42121</v>
      </c>
      <c r="C441" s="26" t="str">
        <f>IFERROR(__xludf.DUMMYFUNCTION("""COMPUTED_VALUE"""),"Tony Chapman")</f>
        <v>Tony Chapman</v>
      </c>
      <c r="D441" s="26" t="str">
        <f>IFERROR(__xludf.DUMMYFUNCTION("""COMPUTED_VALUE"""),"Home Office")</f>
        <v>Home Office</v>
      </c>
      <c r="E441" s="26" t="str">
        <f>IFERROR(__xludf.DUMMYFUNCTION("""COMPUTED_VALUE"""),"West")</f>
        <v>West</v>
      </c>
      <c r="F441" s="26">
        <f>IFERROR(__xludf.DUMMYFUNCTION("""COMPUTED_VALUE"""),43.56)</f>
        <v>43.56</v>
      </c>
      <c r="G441" s="26">
        <f>IFERROR(__xludf.DUMMYFUNCTION("""COMPUTED_VALUE"""),5.0)</f>
        <v>5</v>
      </c>
      <c r="H441" s="26">
        <f>IFERROR(__xludf.DUMMYFUNCTION("""COMPUTED_VALUE"""),3.267)</f>
        <v>3.267</v>
      </c>
    </row>
    <row r="442">
      <c r="A442" s="26" t="str">
        <f>IFERROR(__xludf.DUMMYFUNCTION("""COMPUTED_VALUE"""),"CA-2015-144099")</f>
        <v>CA-2015-144099</v>
      </c>
      <c r="B442" s="27">
        <f>IFERROR(__xludf.DUMMYFUNCTION("""COMPUTED_VALUE"""),42337.0)</f>
        <v>42337</v>
      </c>
      <c r="C442" s="26" t="str">
        <f>IFERROR(__xludf.DUMMYFUNCTION("""COMPUTED_VALUE"""),"Phillina Ober")</f>
        <v>Phillina Ober</v>
      </c>
      <c r="D442" s="26" t="str">
        <f>IFERROR(__xludf.DUMMYFUNCTION("""COMPUTED_VALUE"""),"Home Office")</f>
        <v>Home Office</v>
      </c>
      <c r="E442" s="26" t="str">
        <f>IFERROR(__xludf.DUMMYFUNCTION("""COMPUTED_VALUE"""),"West")</f>
        <v>West</v>
      </c>
      <c r="F442" s="26">
        <f>IFERROR(__xludf.DUMMYFUNCTION("""COMPUTED_VALUE"""),4.304)</f>
        <v>4.304</v>
      </c>
      <c r="G442" s="26">
        <f>IFERROR(__xludf.DUMMYFUNCTION("""COMPUTED_VALUE"""),1.0)</f>
        <v>1</v>
      </c>
      <c r="H442" s="26">
        <f>IFERROR(__xludf.DUMMYFUNCTION("""COMPUTED_VALUE"""),1.5602)</f>
        <v>1.5602</v>
      </c>
    </row>
    <row r="443">
      <c r="A443" s="26" t="str">
        <f>IFERROR(__xludf.DUMMYFUNCTION("""COMPUTED_VALUE"""),"CA-2015-168767")</f>
        <v>CA-2015-168767</v>
      </c>
      <c r="B443" s="27">
        <f>IFERROR(__xludf.DUMMYFUNCTION("""COMPUTED_VALUE"""),42104.0)</f>
        <v>42104</v>
      </c>
      <c r="C443" s="26" t="str">
        <f>IFERROR(__xludf.DUMMYFUNCTION("""COMPUTED_VALUE"""),"Dario Medina")</f>
        <v>Dario Medina</v>
      </c>
      <c r="D443" s="26" t="str">
        <f>IFERROR(__xludf.DUMMYFUNCTION("""COMPUTED_VALUE"""),"Corporate")</f>
        <v>Corporate</v>
      </c>
      <c r="E443" s="26" t="str">
        <f>IFERROR(__xludf.DUMMYFUNCTION("""COMPUTED_VALUE"""),"West")</f>
        <v>West</v>
      </c>
      <c r="F443" s="26">
        <f>IFERROR(__xludf.DUMMYFUNCTION("""COMPUTED_VALUE"""),12.832)</f>
        <v>12.832</v>
      </c>
      <c r="G443" s="26">
        <f>IFERROR(__xludf.DUMMYFUNCTION("""COMPUTED_VALUE"""),2.0)</f>
        <v>2</v>
      </c>
      <c r="H443" s="26">
        <f>IFERROR(__xludf.DUMMYFUNCTION("""COMPUTED_VALUE"""),4.3308)</f>
        <v>4.3308</v>
      </c>
    </row>
    <row r="444">
      <c r="A444" s="26" t="str">
        <f>IFERROR(__xludf.DUMMYFUNCTION("""COMPUTED_VALUE"""),"CA-2015-156440")</f>
        <v>CA-2015-156440</v>
      </c>
      <c r="B444" s="27">
        <f>IFERROR(__xludf.DUMMYFUNCTION("""COMPUTED_VALUE"""),42343.0)</f>
        <v>42343</v>
      </c>
      <c r="C444" s="26" t="str">
        <f>IFERROR(__xludf.DUMMYFUNCTION("""COMPUTED_VALUE"""),"Matt Hagelstein")</f>
        <v>Matt Hagelstein</v>
      </c>
      <c r="D444" s="26" t="str">
        <f>IFERROR(__xludf.DUMMYFUNCTION("""COMPUTED_VALUE"""),"Corporate")</f>
        <v>Corporate</v>
      </c>
      <c r="E444" s="26" t="str">
        <f>IFERROR(__xludf.DUMMYFUNCTION("""COMPUTED_VALUE"""),"West")</f>
        <v>West</v>
      </c>
      <c r="F444" s="26">
        <f>IFERROR(__xludf.DUMMYFUNCTION("""COMPUTED_VALUE"""),44.46)</f>
        <v>44.46</v>
      </c>
      <c r="G444" s="26">
        <f>IFERROR(__xludf.DUMMYFUNCTION("""COMPUTED_VALUE"""),2.0)</f>
        <v>2</v>
      </c>
      <c r="H444" s="26">
        <f>IFERROR(__xludf.DUMMYFUNCTION("""COMPUTED_VALUE"""),14.6718)</f>
        <v>14.6718</v>
      </c>
    </row>
    <row r="445">
      <c r="A445" s="26" t="str">
        <f>IFERROR(__xludf.DUMMYFUNCTION("""COMPUTED_VALUE"""),"US-2015-131359")</f>
        <v>US-2015-131359</v>
      </c>
      <c r="B445" s="27">
        <f>IFERROR(__xludf.DUMMYFUNCTION("""COMPUTED_VALUE"""),42307.0)</f>
        <v>42307</v>
      </c>
      <c r="C445" s="26" t="str">
        <f>IFERROR(__xludf.DUMMYFUNCTION("""COMPUTED_VALUE"""),"Frank Atkinson")</f>
        <v>Frank Atkinson</v>
      </c>
      <c r="D445" s="26" t="str">
        <f>IFERROR(__xludf.DUMMYFUNCTION("""COMPUTED_VALUE"""),"Corporate")</f>
        <v>Corporate</v>
      </c>
      <c r="E445" s="26" t="str">
        <f>IFERROR(__xludf.DUMMYFUNCTION("""COMPUTED_VALUE"""),"West")</f>
        <v>West</v>
      </c>
      <c r="F445" s="26">
        <f>IFERROR(__xludf.DUMMYFUNCTION("""COMPUTED_VALUE"""),59.994)</f>
        <v>59.994</v>
      </c>
      <c r="G445" s="26">
        <f>IFERROR(__xludf.DUMMYFUNCTION("""COMPUTED_VALUE"""),2.0)</f>
        <v>2</v>
      </c>
      <c r="H445" s="26">
        <f>IFERROR(__xludf.DUMMYFUNCTION("""COMPUTED_VALUE"""),-45.9954)</f>
        <v>-45.9954</v>
      </c>
    </row>
    <row r="446">
      <c r="A446" s="26" t="str">
        <f>IFERROR(__xludf.DUMMYFUNCTION("""COMPUTED_VALUE"""),"CA-2015-151680")</f>
        <v>CA-2015-151680</v>
      </c>
      <c r="B446" s="27">
        <f>IFERROR(__xludf.DUMMYFUNCTION("""COMPUTED_VALUE"""),42327.0)</f>
        <v>42327</v>
      </c>
      <c r="C446" s="26" t="str">
        <f>IFERROR(__xludf.DUMMYFUNCTION("""COMPUTED_VALUE"""),"Tony Chapman")</f>
        <v>Tony Chapman</v>
      </c>
      <c r="D446" s="26" t="str">
        <f>IFERROR(__xludf.DUMMYFUNCTION("""COMPUTED_VALUE"""),"Home Office")</f>
        <v>Home Office</v>
      </c>
      <c r="E446" s="26" t="str">
        <f>IFERROR(__xludf.DUMMYFUNCTION("""COMPUTED_VALUE"""),"West")</f>
        <v>West</v>
      </c>
      <c r="F446" s="26">
        <f>IFERROR(__xludf.DUMMYFUNCTION("""COMPUTED_VALUE"""),141.96)</f>
        <v>141.96</v>
      </c>
      <c r="G446" s="26">
        <f>IFERROR(__xludf.DUMMYFUNCTION("""COMPUTED_VALUE"""),2.0)</f>
        <v>2</v>
      </c>
      <c r="H446" s="26">
        <f>IFERROR(__xludf.DUMMYFUNCTION("""COMPUTED_VALUE"""),22.7136)</f>
        <v>22.7136</v>
      </c>
    </row>
    <row r="447">
      <c r="A447" s="26" t="str">
        <f>IFERROR(__xludf.DUMMYFUNCTION("""COMPUTED_VALUE"""),"CA-2015-167745")</f>
        <v>CA-2015-167745</v>
      </c>
      <c r="B447" s="27">
        <f>IFERROR(__xludf.DUMMYFUNCTION("""COMPUTED_VALUE"""),42265.0)</f>
        <v>42265</v>
      </c>
      <c r="C447" s="26" t="str">
        <f>IFERROR(__xludf.DUMMYFUNCTION("""COMPUTED_VALUE"""),"George Bell")</f>
        <v>George Bell</v>
      </c>
      <c r="D447" s="26" t="str">
        <f>IFERROR(__xludf.DUMMYFUNCTION("""COMPUTED_VALUE"""),"Corporate")</f>
        <v>Corporate</v>
      </c>
      <c r="E447" s="26" t="str">
        <f>IFERROR(__xludf.DUMMYFUNCTION("""COMPUTED_VALUE"""),"West")</f>
        <v>West</v>
      </c>
      <c r="F447" s="26">
        <f>IFERROR(__xludf.DUMMYFUNCTION("""COMPUTED_VALUE"""),11.68)</f>
        <v>11.68</v>
      </c>
      <c r="G447" s="26">
        <f>IFERROR(__xludf.DUMMYFUNCTION("""COMPUTED_VALUE"""),2.0)</f>
        <v>2</v>
      </c>
      <c r="H447" s="26">
        <f>IFERROR(__xludf.DUMMYFUNCTION("""COMPUTED_VALUE"""),5.4896)</f>
        <v>5.4896</v>
      </c>
    </row>
    <row r="448">
      <c r="A448" s="26" t="str">
        <f>IFERROR(__xludf.DUMMYFUNCTION("""COMPUTED_VALUE"""),"CA-2015-107937")</f>
        <v>CA-2015-107937</v>
      </c>
      <c r="B448" s="27">
        <f>IFERROR(__xludf.DUMMYFUNCTION("""COMPUTED_VALUE"""),42127.0)</f>
        <v>42127</v>
      </c>
      <c r="C448" s="26" t="str">
        <f>IFERROR(__xludf.DUMMYFUNCTION("""COMPUTED_VALUE"""),"Julia Barnett")</f>
        <v>Julia Barnett</v>
      </c>
      <c r="D448" s="26" t="str">
        <f>IFERROR(__xludf.DUMMYFUNCTION("""COMPUTED_VALUE"""),"Home Office")</f>
        <v>Home Office</v>
      </c>
      <c r="E448" s="26" t="str">
        <f>IFERROR(__xludf.DUMMYFUNCTION("""COMPUTED_VALUE"""),"West")</f>
        <v>West</v>
      </c>
      <c r="F448" s="26">
        <f>IFERROR(__xludf.DUMMYFUNCTION("""COMPUTED_VALUE"""),665.88)</f>
        <v>665.88</v>
      </c>
      <c r="G448" s="26">
        <f>IFERROR(__xludf.DUMMYFUNCTION("""COMPUTED_VALUE"""),6.0)</f>
        <v>6</v>
      </c>
      <c r="H448" s="26">
        <f>IFERROR(__xludf.DUMMYFUNCTION("""COMPUTED_VALUE"""),106.5408)</f>
        <v>106.5408</v>
      </c>
    </row>
    <row r="449">
      <c r="A449" s="26" t="str">
        <f>IFERROR(__xludf.DUMMYFUNCTION("""COMPUTED_VALUE"""),"CA-2015-132486")</f>
        <v>CA-2015-132486</v>
      </c>
      <c r="B449" s="27">
        <f>IFERROR(__xludf.DUMMYFUNCTION("""COMPUTED_VALUE"""),42300.0)</f>
        <v>42300</v>
      </c>
      <c r="C449" s="26" t="str">
        <f>IFERROR(__xludf.DUMMYFUNCTION("""COMPUTED_VALUE"""),"Jay Fein")</f>
        <v>Jay Fein</v>
      </c>
      <c r="D449" s="26" t="str">
        <f>IFERROR(__xludf.DUMMYFUNCTION("""COMPUTED_VALUE"""),"Consumer")</f>
        <v>Consumer</v>
      </c>
      <c r="E449" s="26" t="str">
        <f>IFERROR(__xludf.DUMMYFUNCTION("""COMPUTED_VALUE"""),"West")</f>
        <v>West</v>
      </c>
      <c r="F449" s="26">
        <f>IFERROR(__xludf.DUMMYFUNCTION("""COMPUTED_VALUE"""),148.32)</f>
        <v>148.32</v>
      </c>
      <c r="G449" s="26">
        <f>IFERROR(__xludf.DUMMYFUNCTION("""COMPUTED_VALUE"""),9.0)</f>
        <v>9</v>
      </c>
      <c r="H449" s="26">
        <f>IFERROR(__xludf.DUMMYFUNCTION("""COMPUTED_VALUE"""),63.7776)</f>
        <v>63.7776</v>
      </c>
    </row>
    <row r="450">
      <c r="A450" s="26" t="str">
        <f>IFERROR(__xludf.DUMMYFUNCTION("""COMPUTED_VALUE"""),"CA-2015-129896")</f>
        <v>CA-2015-129896</v>
      </c>
      <c r="B450" s="27">
        <f>IFERROR(__xludf.DUMMYFUNCTION("""COMPUTED_VALUE"""),42170.0)</f>
        <v>42170</v>
      </c>
      <c r="C450" s="26" t="str">
        <f>IFERROR(__xludf.DUMMYFUNCTION("""COMPUTED_VALUE"""),"Peter Fuller")</f>
        <v>Peter Fuller</v>
      </c>
      <c r="D450" s="26" t="str">
        <f>IFERROR(__xludf.DUMMYFUNCTION("""COMPUTED_VALUE"""),"Consumer")</f>
        <v>Consumer</v>
      </c>
      <c r="E450" s="26" t="str">
        <f>IFERROR(__xludf.DUMMYFUNCTION("""COMPUTED_VALUE"""),"West")</f>
        <v>West</v>
      </c>
      <c r="F450" s="26">
        <f>IFERROR(__xludf.DUMMYFUNCTION("""COMPUTED_VALUE"""),9.568)</f>
        <v>9.568</v>
      </c>
      <c r="G450" s="26">
        <f>IFERROR(__xludf.DUMMYFUNCTION("""COMPUTED_VALUE"""),2.0)</f>
        <v>2</v>
      </c>
      <c r="H450" s="26">
        <f>IFERROR(__xludf.DUMMYFUNCTION("""COMPUTED_VALUE"""),2.99)</f>
        <v>2.99</v>
      </c>
    </row>
    <row r="451">
      <c r="A451" s="26" t="str">
        <f>IFERROR(__xludf.DUMMYFUNCTION("""COMPUTED_VALUE"""),"US-2015-119312")</f>
        <v>US-2015-119312</v>
      </c>
      <c r="B451" s="27">
        <f>IFERROR(__xludf.DUMMYFUNCTION("""COMPUTED_VALUE"""),42279.0)</f>
        <v>42279</v>
      </c>
      <c r="C451" s="26" t="str">
        <f>IFERROR(__xludf.DUMMYFUNCTION("""COMPUTED_VALUE"""),"Christopher Schild")</f>
        <v>Christopher Schild</v>
      </c>
      <c r="D451" s="26" t="str">
        <f>IFERROR(__xludf.DUMMYFUNCTION("""COMPUTED_VALUE"""),"Home Office")</f>
        <v>Home Office</v>
      </c>
      <c r="E451" s="26" t="str">
        <f>IFERROR(__xludf.DUMMYFUNCTION("""COMPUTED_VALUE"""),"West")</f>
        <v>West</v>
      </c>
      <c r="F451" s="26">
        <f>IFERROR(__xludf.DUMMYFUNCTION("""COMPUTED_VALUE"""),270.34)</f>
        <v>270.34</v>
      </c>
      <c r="G451" s="26">
        <f>IFERROR(__xludf.DUMMYFUNCTION("""COMPUTED_VALUE"""),14.0)</f>
        <v>14</v>
      </c>
      <c r="H451" s="26">
        <f>IFERROR(__xludf.DUMMYFUNCTION("""COMPUTED_VALUE"""),75.6952)</f>
        <v>75.6952</v>
      </c>
    </row>
    <row r="452">
      <c r="A452" s="26" t="str">
        <f>IFERROR(__xludf.DUMMYFUNCTION("""COMPUTED_VALUE"""),"CA-2015-107468")</f>
        <v>CA-2015-107468</v>
      </c>
      <c r="B452" s="27">
        <f>IFERROR(__xludf.DUMMYFUNCTION("""COMPUTED_VALUE"""),42356.0)</f>
        <v>42356</v>
      </c>
      <c r="C452" s="26" t="str">
        <f>IFERROR(__xludf.DUMMYFUNCTION("""COMPUTED_VALUE"""),"Michael Kennedy")</f>
        <v>Michael Kennedy</v>
      </c>
      <c r="D452" s="26" t="str">
        <f>IFERROR(__xludf.DUMMYFUNCTION("""COMPUTED_VALUE"""),"Corporate")</f>
        <v>Corporate</v>
      </c>
      <c r="E452" s="26" t="str">
        <f>IFERROR(__xludf.DUMMYFUNCTION("""COMPUTED_VALUE"""),"West")</f>
        <v>West</v>
      </c>
      <c r="F452" s="26">
        <f>IFERROR(__xludf.DUMMYFUNCTION("""COMPUTED_VALUE"""),6.848)</f>
        <v>6.848</v>
      </c>
      <c r="G452" s="26">
        <f>IFERROR(__xludf.DUMMYFUNCTION("""COMPUTED_VALUE"""),2.0)</f>
        <v>2</v>
      </c>
      <c r="H452" s="26">
        <f>IFERROR(__xludf.DUMMYFUNCTION("""COMPUTED_VALUE"""),0.5992)</f>
        <v>0.5992</v>
      </c>
    </row>
    <row r="453">
      <c r="A453" s="26" t="str">
        <f>IFERROR(__xludf.DUMMYFUNCTION("""COMPUTED_VALUE"""),"CA-2015-137750")</f>
        <v>CA-2015-137750</v>
      </c>
      <c r="B453" s="27">
        <f>IFERROR(__xludf.DUMMYFUNCTION("""COMPUTED_VALUE"""),42180.0)</f>
        <v>42180</v>
      </c>
      <c r="C453" s="26" t="str">
        <f>IFERROR(__xludf.DUMMYFUNCTION("""COMPUTED_VALUE"""),"Jill Fjeld")</f>
        <v>Jill Fjeld</v>
      </c>
      <c r="D453" s="26" t="str">
        <f>IFERROR(__xludf.DUMMYFUNCTION("""COMPUTED_VALUE"""),"Consumer")</f>
        <v>Consumer</v>
      </c>
      <c r="E453" s="26" t="str">
        <f>IFERROR(__xludf.DUMMYFUNCTION("""COMPUTED_VALUE"""),"West")</f>
        <v>West</v>
      </c>
      <c r="F453" s="26">
        <f>IFERROR(__xludf.DUMMYFUNCTION("""COMPUTED_VALUE"""),204.85)</f>
        <v>204.85</v>
      </c>
      <c r="G453" s="26">
        <f>IFERROR(__xludf.DUMMYFUNCTION("""COMPUTED_VALUE"""),5.0)</f>
        <v>5</v>
      </c>
      <c r="H453" s="26">
        <f>IFERROR(__xludf.DUMMYFUNCTION("""COMPUTED_VALUE"""),57.358)</f>
        <v>57.358</v>
      </c>
    </row>
    <row r="454">
      <c r="A454" s="26" t="str">
        <f>IFERROR(__xludf.DUMMYFUNCTION("""COMPUTED_VALUE"""),"CA-2015-124058")</f>
        <v>CA-2015-124058</v>
      </c>
      <c r="B454" s="27">
        <f>IFERROR(__xludf.DUMMYFUNCTION("""COMPUTED_VALUE"""),42328.0)</f>
        <v>42328</v>
      </c>
      <c r="C454" s="26" t="str">
        <f>IFERROR(__xludf.DUMMYFUNCTION("""COMPUTED_VALUE"""),"Lena Creighton")</f>
        <v>Lena Creighton</v>
      </c>
      <c r="D454" s="26" t="str">
        <f>IFERROR(__xludf.DUMMYFUNCTION("""COMPUTED_VALUE"""),"Consumer")</f>
        <v>Consumer</v>
      </c>
      <c r="E454" s="26" t="str">
        <f>IFERROR(__xludf.DUMMYFUNCTION("""COMPUTED_VALUE"""),"West")</f>
        <v>West</v>
      </c>
      <c r="F454" s="26">
        <f>IFERROR(__xludf.DUMMYFUNCTION("""COMPUTED_VALUE"""),72.744)</f>
        <v>72.744</v>
      </c>
      <c r="G454" s="26">
        <f>IFERROR(__xludf.DUMMYFUNCTION("""COMPUTED_VALUE"""),7.0)</f>
        <v>7</v>
      </c>
      <c r="H454" s="26">
        <f>IFERROR(__xludf.DUMMYFUNCTION("""COMPUTED_VALUE"""),-15.4581)</f>
        <v>-15.4581</v>
      </c>
    </row>
    <row r="455">
      <c r="A455" s="26" t="str">
        <f>IFERROR(__xludf.DUMMYFUNCTION("""COMPUTED_VALUE"""),"US-2015-138716")</f>
        <v>US-2015-138716</v>
      </c>
      <c r="B455" s="27">
        <f>IFERROR(__xludf.DUMMYFUNCTION("""COMPUTED_VALUE"""),42264.0)</f>
        <v>42264</v>
      </c>
      <c r="C455" s="26" t="str">
        <f>IFERROR(__xludf.DUMMYFUNCTION("""COMPUTED_VALUE"""),"Cari Sayre")</f>
        <v>Cari Sayre</v>
      </c>
      <c r="D455" s="26" t="str">
        <f>IFERROR(__xludf.DUMMYFUNCTION("""COMPUTED_VALUE"""),"Corporate")</f>
        <v>Corporate</v>
      </c>
      <c r="E455" s="26" t="str">
        <f>IFERROR(__xludf.DUMMYFUNCTION("""COMPUTED_VALUE"""),"West")</f>
        <v>West</v>
      </c>
      <c r="F455" s="26">
        <f>IFERROR(__xludf.DUMMYFUNCTION("""COMPUTED_VALUE"""),25.032)</f>
        <v>25.032</v>
      </c>
      <c r="G455" s="26">
        <f>IFERROR(__xludf.DUMMYFUNCTION("""COMPUTED_VALUE"""),3.0)</f>
        <v>3</v>
      </c>
      <c r="H455" s="26">
        <f>IFERROR(__xludf.DUMMYFUNCTION("""COMPUTED_VALUE"""),7.8225)</f>
        <v>7.8225</v>
      </c>
    </row>
    <row r="456">
      <c r="A456" s="26" t="str">
        <f>IFERROR(__xludf.DUMMYFUNCTION("""COMPUTED_VALUE"""),"CA-2015-153416")</f>
        <v>CA-2015-153416</v>
      </c>
      <c r="B456" s="27">
        <f>IFERROR(__xludf.DUMMYFUNCTION("""COMPUTED_VALUE"""),42332.0)</f>
        <v>42332</v>
      </c>
      <c r="C456" s="26" t="str">
        <f>IFERROR(__xludf.DUMMYFUNCTION("""COMPUTED_VALUE"""),"Toby Swindell")</f>
        <v>Toby Swindell</v>
      </c>
      <c r="D456" s="26" t="str">
        <f>IFERROR(__xludf.DUMMYFUNCTION("""COMPUTED_VALUE"""),"Consumer")</f>
        <v>Consumer</v>
      </c>
      <c r="E456" s="26" t="str">
        <f>IFERROR(__xludf.DUMMYFUNCTION("""COMPUTED_VALUE"""),"West")</f>
        <v>West</v>
      </c>
      <c r="F456" s="26">
        <f>IFERROR(__xludf.DUMMYFUNCTION("""COMPUTED_VALUE"""),3.168)</f>
        <v>3.168</v>
      </c>
      <c r="G456" s="26">
        <f>IFERROR(__xludf.DUMMYFUNCTION("""COMPUTED_VALUE"""),2.0)</f>
        <v>2</v>
      </c>
      <c r="H456" s="26">
        <f>IFERROR(__xludf.DUMMYFUNCTION("""COMPUTED_VALUE"""),0.99)</f>
        <v>0.99</v>
      </c>
    </row>
    <row r="457">
      <c r="A457" s="26" t="str">
        <f>IFERROR(__xludf.DUMMYFUNCTION("""COMPUTED_VALUE"""),"CA-2015-121272")</f>
        <v>CA-2015-121272</v>
      </c>
      <c r="B457" s="27">
        <f>IFERROR(__xludf.DUMMYFUNCTION("""COMPUTED_VALUE"""),42092.0)</f>
        <v>42092</v>
      </c>
      <c r="C457" s="26" t="str">
        <f>IFERROR(__xludf.DUMMYFUNCTION("""COMPUTED_VALUE"""),"Denny Ordway")</f>
        <v>Denny Ordway</v>
      </c>
      <c r="D457" s="26" t="str">
        <f>IFERROR(__xludf.DUMMYFUNCTION("""COMPUTED_VALUE"""),"Consumer")</f>
        <v>Consumer</v>
      </c>
      <c r="E457" s="26" t="str">
        <f>IFERROR(__xludf.DUMMYFUNCTION("""COMPUTED_VALUE"""),"West")</f>
        <v>West</v>
      </c>
      <c r="F457" s="26">
        <f>IFERROR(__xludf.DUMMYFUNCTION("""COMPUTED_VALUE"""),73.28)</f>
        <v>73.28</v>
      </c>
      <c r="G457" s="26">
        <f>IFERROR(__xludf.DUMMYFUNCTION("""COMPUTED_VALUE"""),4.0)</f>
        <v>4</v>
      </c>
      <c r="H457" s="26">
        <f>IFERROR(__xludf.DUMMYFUNCTION("""COMPUTED_VALUE"""),21.2512)</f>
        <v>21.2512</v>
      </c>
    </row>
    <row r="458">
      <c r="A458" s="26" t="str">
        <f>IFERROR(__xludf.DUMMYFUNCTION("""COMPUTED_VALUE"""),"CA-2015-100216")</f>
        <v>CA-2015-100216</v>
      </c>
      <c r="B458" s="27">
        <f>IFERROR(__xludf.DUMMYFUNCTION("""COMPUTED_VALUE"""),42107.0)</f>
        <v>42107</v>
      </c>
      <c r="C458" s="26" t="str">
        <f>IFERROR(__xludf.DUMMYFUNCTION("""COMPUTED_VALUE"""),"Heather Jas")</f>
        <v>Heather Jas</v>
      </c>
      <c r="D458" s="26" t="str">
        <f>IFERROR(__xludf.DUMMYFUNCTION("""COMPUTED_VALUE"""),"Home Office")</f>
        <v>Home Office</v>
      </c>
      <c r="E458" s="26" t="str">
        <f>IFERROR(__xludf.DUMMYFUNCTION("""COMPUTED_VALUE"""),"West")</f>
        <v>West</v>
      </c>
      <c r="F458" s="26">
        <f>IFERROR(__xludf.DUMMYFUNCTION("""COMPUTED_VALUE"""),31.104)</f>
        <v>31.104</v>
      </c>
      <c r="G458" s="26">
        <f>IFERROR(__xludf.DUMMYFUNCTION("""COMPUTED_VALUE"""),6.0)</f>
        <v>6</v>
      </c>
      <c r="H458" s="26">
        <f>IFERROR(__xludf.DUMMYFUNCTION("""COMPUTED_VALUE"""),10.8864)</f>
        <v>10.8864</v>
      </c>
    </row>
    <row r="459">
      <c r="A459" s="26" t="str">
        <f>IFERROR(__xludf.DUMMYFUNCTION("""COMPUTED_VALUE"""),"CA-2015-154340")</f>
        <v>CA-2015-154340</v>
      </c>
      <c r="B459" s="27">
        <f>IFERROR(__xludf.DUMMYFUNCTION("""COMPUTED_VALUE"""),42337.0)</f>
        <v>42337</v>
      </c>
      <c r="C459" s="26" t="str">
        <f>IFERROR(__xludf.DUMMYFUNCTION("""COMPUTED_VALUE"""),"Eileen Kiefer")</f>
        <v>Eileen Kiefer</v>
      </c>
      <c r="D459" s="26" t="str">
        <f>IFERROR(__xludf.DUMMYFUNCTION("""COMPUTED_VALUE"""),"Home Office")</f>
        <v>Home Office</v>
      </c>
      <c r="E459" s="26" t="str">
        <f>IFERROR(__xludf.DUMMYFUNCTION("""COMPUTED_VALUE"""),"West")</f>
        <v>West</v>
      </c>
      <c r="F459" s="26">
        <f>IFERROR(__xludf.DUMMYFUNCTION("""COMPUTED_VALUE"""),56.3)</f>
        <v>56.3</v>
      </c>
      <c r="G459" s="26">
        <f>IFERROR(__xludf.DUMMYFUNCTION("""COMPUTED_VALUE"""),2.0)</f>
        <v>2</v>
      </c>
      <c r="H459" s="26">
        <f>IFERROR(__xludf.DUMMYFUNCTION("""COMPUTED_VALUE"""),15.764)</f>
        <v>15.764</v>
      </c>
    </row>
    <row r="460">
      <c r="A460" s="26" t="str">
        <f>IFERROR(__xludf.DUMMYFUNCTION("""COMPUTED_VALUE"""),"CA-2015-150875")</f>
        <v>CA-2015-150875</v>
      </c>
      <c r="B460" s="27">
        <f>IFERROR(__xludf.DUMMYFUNCTION("""COMPUTED_VALUE"""),42324.0)</f>
        <v>42324</v>
      </c>
      <c r="C460" s="26" t="str">
        <f>IFERROR(__xludf.DUMMYFUNCTION("""COMPUTED_VALUE"""),"Heather Kirkland")</f>
        <v>Heather Kirkland</v>
      </c>
      <c r="D460" s="26" t="str">
        <f>IFERROR(__xludf.DUMMYFUNCTION("""COMPUTED_VALUE"""),"Corporate")</f>
        <v>Corporate</v>
      </c>
      <c r="E460" s="26" t="str">
        <f>IFERROR(__xludf.DUMMYFUNCTION("""COMPUTED_VALUE"""),"West")</f>
        <v>West</v>
      </c>
      <c r="F460" s="26">
        <f>IFERROR(__xludf.DUMMYFUNCTION("""COMPUTED_VALUE"""),696.42)</f>
        <v>696.42</v>
      </c>
      <c r="G460" s="26">
        <f>IFERROR(__xludf.DUMMYFUNCTION("""COMPUTED_VALUE"""),2.0)</f>
        <v>2</v>
      </c>
      <c r="H460" s="26">
        <f>IFERROR(__xludf.DUMMYFUNCTION("""COMPUTED_VALUE"""),160.1766)</f>
        <v>160.1766</v>
      </c>
    </row>
    <row r="461">
      <c r="A461" s="26" t="str">
        <f>IFERROR(__xludf.DUMMYFUNCTION("""COMPUTED_VALUE"""),"CA-2015-154200")</f>
        <v>CA-2015-154200</v>
      </c>
      <c r="B461" s="27">
        <f>IFERROR(__xludf.DUMMYFUNCTION("""COMPUTED_VALUE"""),42173.0)</f>
        <v>42173</v>
      </c>
      <c r="C461" s="26" t="str">
        <f>IFERROR(__xludf.DUMMYFUNCTION("""COMPUTED_VALUE"""),"Bruce Geld")</f>
        <v>Bruce Geld</v>
      </c>
      <c r="D461" s="26" t="str">
        <f>IFERROR(__xludf.DUMMYFUNCTION("""COMPUTED_VALUE"""),"Consumer")</f>
        <v>Consumer</v>
      </c>
      <c r="E461" s="26" t="str">
        <f>IFERROR(__xludf.DUMMYFUNCTION("""COMPUTED_VALUE"""),"West")</f>
        <v>West</v>
      </c>
      <c r="F461" s="26">
        <f>IFERROR(__xludf.DUMMYFUNCTION("""COMPUTED_VALUE"""),51.98)</f>
        <v>51.98</v>
      </c>
      <c r="G461" s="26">
        <f>IFERROR(__xludf.DUMMYFUNCTION("""COMPUTED_VALUE"""),2.0)</f>
        <v>2</v>
      </c>
      <c r="H461" s="26">
        <f>IFERROR(__xludf.DUMMYFUNCTION("""COMPUTED_VALUE"""),15.0742)</f>
        <v>15.0742</v>
      </c>
    </row>
    <row r="462">
      <c r="A462" s="26" t="str">
        <f>IFERROR(__xludf.DUMMYFUNCTION("""COMPUTED_VALUE"""),"CA-2015-111234")</f>
        <v>CA-2015-111234</v>
      </c>
      <c r="B462" s="27">
        <f>IFERROR(__xludf.DUMMYFUNCTION("""COMPUTED_VALUE"""),42053.0)</f>
        <v>42053</v>
      </c>
      <c r="C462" s="26" t="str">
        <f>IFERROR(__xludf.DUMMYFUNCTION("""COMPUTED_VALUE"""),"Ann Blume")</f>
        <v>Ann Blume</v>
      </c>
      <c r="D462" s="26" t="str">
        <f>IFERROR(__xludf.DUMMYFUNCTION("""COMPUTED_VALUE"""),"Corporate")</f>
        <v>Corporate</v>
      </c>
      <c r="E462" s="26" t="str">
        <f>IFERROR(__xludf.DUMMYFUNCTION("""COMPUTED_VALUE"""),"West")</f>
        <v>West</v>
      </c>
      <c r="F462" s="26">
        <f>IFERROR(__xludf.DUMMYFUNCTION("""COMPUTED_VALUE"""),9.24)</f>
        <v>9.24</v>
      </c>
      <c r="G462" s="26">
        <f>IFERROR(__xludf.DUMMYFUNCTION("""COMPUTED_VALUE"""),3.0)</f>
        <v>3</v>
      </c>
      <c r="H462" s="26">
        <f>IFERROR(__xludf.DUMMYFUNCTION("""COMPUTED_VALUE"""),4.4352)</f>
        <v>4.4352</v>
      </c>
    </row>
    <row r="463">
      <c r="A463" s="26" t="str">
        <f>IFERROR(__xludf.DUMMYFUNCTION("""COMPUTED_VALUE"""),"CA-2015-154970")</f>
        <v>CA-2015-154970</v>
      </c>
      <c r="B463" s="27">
        <f>IFERROR(__xludf.DUMMYFUNCTION("""COMPUTED_VALUE"""),42009.0)</f>
        <v>42009</v>
      </c>
      <c r="C463" s="26" t="str">
        <f>IFERROR(__xludf.DUMMYFUNCTION("""COMPUTED_VALUE"""),"Steven Roelle")</f>
        <v>Steven Roelle</v>
      </c>
      <c r="D463" s="26" t="str">
        <f>IFERROR(__xludf.DUMMYFUNCTION("""COMPUTED_VALUE"""),"Home Office")</f>
        <v>Home Office</v>
      </c>
      <c r="E463" s="26" t="str">
        <f>IFERROR(__xludf.DUMMYFUNCTION("""COMPUTED_VALUE"""),"West")</f>
        <v>West</v>
      </c>
      <c r="F463" s="26">
        <f>IFERROR(__xludf.DUMMYFUNCTION("""COMPUTED_VALUE"""),61.584)</f>
        <v>61.584</v>
      </c>
      <c r="G463" s="26">
        <f>IFERROR(__xludf.DUMMYFUNCTION("""COMPUTED_VALUE"""),1.0)</f>
        <v>1</v>
      </c>
      <c r="H463" s="26">
        <f>IFERROR(__xludf.DUMMYFUNCTION("""COMPUTED_VALUE"""),-6.9282)</f>
        <v>-6.9282</v>
      </c>
    </row>
    <row r="464">
      <c r="A464" s="26" t="str">
        <f>IFERROR(__xludf.DUMMYFUNCTION("""COMPUTED_VALUE"""),"CA-2015-101924")</f>
        <v>CA-2015-101924</v>
      </c>
      <c r="B464" s="27">
        <f>IFERROR(__xludf.DUMMYFUNCTION("""COMPUTED_VALUE"""),42251.0)</f>
        <v>42251</v>
      </c>
      <c r="C464" s="26" t="str">
        <f>IFERROR(__xludf.DUMMYFUNCTION("""COMPUTED_VALUE"""),"Ken Black")</f>
        <v>Ken Black</v>
      </c>
      <c r="D464" s="26" t="str">
        <f>IFERROR(__xludf.DUMMYFUNCTION("""COMPUTED_VALUE"""),"Corporate")</f>
        <v>Corporate</v>
      </c>
      <c r="E464" s="26" t="str">
        <f>IFERROR(__xludf.DUMMYFUNCTION("""COMPUTED_VALUE"""),"West")</f>
        <v>West</v>
      </c>
      <c r="F464" s="26">
        <f>IFERROR(__xludf.DUMMYFUNCTION("""COMPUTED_VALUE"""),9.762)</f>
        <v>9.762</v>
      </c>
      <c r="G464" s="26">
        <f>IFERROR(__xludf.DUMMYFUNCTION("""COMPUTED_VALUE"""),2.0)</f>
        <v>2</v>
      </c>
      <c r="H464" s="26">
        <f>IFERROR(__xludf.DUMMYFUNCTION("""COMPUTED_VALUE"""),-6.8334)</f>
        <v>-6.8334</v>
      </c>
    </row>
    <row r="465">
      <c r="A465" s="26" t="str">
        <f>IFERROR(__xludf.DUMMYFUNCTION("""COMPUTED_VALUE"""),"CA-2015-142692")</f>
        <v>CA-2015-142692</v>
      </c>
      <c r="B465" s="27">
        <f>IFERROR(__xludf.DUMMYFUNCTION("""COMPUTED_VALUE"""),42300.0)</f>
        <v>42300</v>
      </c>
      <c r="C465" s="26" t="str">
        <f>IFERROR(__xludf.DUMMYFUNCTION("""COMPUTED_VALUE"""),"Andrew Gjertsen")</f>
        <v>Andrew Gjertsen</v>
      </c>
      <c r="D465" s="26" t="str">
        <f>IFERROR(__xludf.DUMMYFUNCTION("""COMPUTED_VALUE"""),"Corporate")</f>
        <v>Corporate</v>
      </c>
      <c r="E465" s="26" t="str">
        <f>IFERROR(__xludf.DUMMYFUNCTION("""COMPUTED_VALUE"""),"West")</f>
        <v>West</v>
      </c>
      <c r="F465" s="26">
        <f>IFERROR(__xludf.DUMMYFUNCTION("""COMPUTED_VALUE"""),3.592)</f>
        <v>3.592</v>
      </c>
      <c r="G465" s="26">
        <f>IFERROR(__xludf.DUMMYFUNCTION("""COMPUTED_VALUE"""),1.0)</f>
        <v>1</v>
      </c>
      <c r="H465" s="26">
        <f>IFERROR(__xludf.DUMMYFUNCTION("""COMPUTED_VALUE"""),1.1225)</f>
        <v>1.1225</v>
      </c>
    </row>
    <row r="466">
      <c r="A466" s="26" t="str">
        <f>IFERROR(__xludf.DUMMYFUNCTION("""COMPUTED_VALUE"""),"CA-2015-115945")</f>
        <v>CA-2015-115945</v>
      </c>
      <c r="B466" s="27">
        <f>IFERROR(__xludf.DUMMYFUNCTION("""COMPUTED_VALUE"""),42180.0)</f>
        <v>42180</v>
      </c>
      <c r="C466" s="26" t="str">
        <f>IFERROR(__xludf.DUMMYFUNCTION("""COMPUTED_VALUE"""),"Alan Barnes")</f>
        <v>Alan Barnes</v>
      </c>
      <c r="D466" s="26" t="str">
        <f>IFERROR(__xludf.DUMMYFUNCTION("""COMPUTED_VALUE"""),"Consumer")</f>
        <v>Consumer</v>
      </c>
      <c r="E466" s="26" t="str">
        <f>IFERROR(__xludf.DUMMYFUNCTION("""COMPUTED_VALUE"""),"West")</f>
        <v>West</v>
      </c>
      <c r="F466" s="26">
        <f>IFERROR(__xludf.DUMMYFUNCTION("""COMPUTED_VALUE"""),20.96)</f>
        <v>20.96</v>
      </c>
      <c r="G466" s="26">
        <f>IFERROR(__xludf.DUMMYFUNCTION("""COMPUTED_VALUE"""),2.0)</f>
        <v>2</v>
      </c>
      <c r="H466" s="26">
        <f>IFERROR(__xludf.DUMMYFUNCTION("""COMPUTED_VALUE"""),5.24)</f>
        <v>5.24</v>
      </c>
    </row>
    <row r="467">
      <c r="A467" s="26" t="str">
        <f>IFERROR(__xludf.DUMMYFUNCTION("""COMPUTED_VALUE"""),"CA-2015-136735")</f>
        <v>CA-2015-136735</v>
      </c>
      <c r="B467" s="27">
        <f>IFERROR(__xludf.DUMMYFUNCTION("""COMPUTED_VALUE"""),42211.0)</f>
        <v>42211</v>
      </c>
      <c r="C467" s="26" t="str">
        <f>IFERROR(__xludf.DUMMYFUNCTION("""COMPUTED_VALUE"""),"Helen Andreada")</f>
        <v>Helen Andreada</v>
      </c>
      <c r="D467" s="26" t="str">
        <f>IFERROR(__xludf.DUMMYFUNCTION("""COMPUTED_VALUE"""),"Consumer")</f>
        <v>Consumer</v>
      </c>
      <c r="E467" s="26" t="str">
        <f>IFERROR(__xludf.DUMMYFUNCTION("""COMPUTED_VALUE"""),"West")</f>
        <v>West</v>
      </c>
      <c r="F467" s="26">
        <f>IFERROR(__xludf.DUMMYFUNCTION("""COMPUTED_VALUE"""),167.86)</f>
        <v>167.86</v>
      </c>
      <c r="G467" s="26">
        <f>IFERROR(__xludf.DUMMYFUNCTION("""COMPUTED_VALUE"""),2.0)</f>
        <v>2</v>
      </c>
      <c r="H467" s="26">
        <f>IFERROR(__xludf.DUMMYFUNCTION("""COMPUTED_VALUE"""),78.8942)</f>
        <v>78.8942</v>
      </c>
    </row>
    <row r="468">
      <c r="A468" s="26" t="str">
        <f>IFERROR(__xludf.DUMMYFUNCTION("""COMPUTED_VALUE"""),"CA-2015-154795")</f>
        <v>CA-2015-154795</v>
      </c>
      <c r="B468" s="27">
        <f>IFERROR(__xludf.DUMMYFUNCTION("""COMPUTED_VALUE"""),42358.0)</f>
        <v>42358</v>
      </c>
      <c r="C468" s="26" t="str">
        <f>IFERROR(__xludf.DUMMYFUNCTION("""COMPUTED_VALUE"""),"Gary Zandusky")</f>
        <v>Gary Zandusky</v>
      </c>
      <c r="D468" s="26" t="str">
        <f>IFERROR(__xludf.DUMMYFUNCTION("""COMPUTED_VALUE"""),"Consumer")</f>
        <v>Consumer</v>
      </c>
      <c r="E468" s="26" t="str">
        <f>IFERROR(__xludf.DUMMYFUNCTION("""COMPUTED_VALUE"""),"West")</f>
        <v>West</v>
      </c>
      <c r="F468" s="26">
        <f>IFERROR(__xludf.DUMMYFUNCTION("""COMPUTED_VALUE"""),7.92)</f>
        <v>7.92</v>
      </c>
      <c r="G468" s="26">
        <f>IFERROR(__xludf.DUMMYFUNCTION("""COMPUTED_VALUE"""),1.0)</f>
        <v>1</v>
      </c>
      <c r="H468" s="26">
        <f>IFERROR(__xludf.DUMMYFUNCTION("""COMPUTED_VALUE"""),2.772)</f>
        <v>2.772</v>
      </c>
    </row>
    <row r="469">
      <c r="A469" s="26" t="str">
        <f>IFERROR(__xludf.DUMMYFUNCTION("""COMPUTED_VALUE"""),"CA-2015-125234")</f>
        <v>CA-2015-125234</v>
      </c>
      <c r="B469" s="27">
        <f>IFERROR(__xludf.DUMMYFUNCTION("""COMPUTED_VALUE"""),42335.0)</f>
        <v>42335</v>
      </c>
      <c r="C469" s="26" t="str">
        <f>IFERROR(__xludf.DUMMYFUNCTION("""COMPUTED_VALUE"""),"Steve Nguyen")</f>
        <v>Steve Nguyen</v>
      </c>
      <c r="D469" s="26" t="str">
        <f>IFERROR(__xludf.DUMMYFUNCTION("""COMPUTED_VALUE"""),"Home Office")</f>
        <v>Home Office</v>
      </c>
      <c r="E469" s="26" t="str">
        <f>IFERROR(__xludf.DUMMYFUNCTION("""COMPUTED_VALUE"""),"West")</f>
        <v>West</v>
      </c>
      <c r="F469" s="26">
        <f>IFERROR(__xludf.DUMMYFUNCTION("""COMPUTED_VALUE"""),107.97)</f>
        <v>107.97</v>
      </c>
      <c r="G469" s="26">
        <f>IFERROR(__xludf.DUMMYFUNCTION("""COMPUTED_VALUE"""),3.0)</f>
        <v>3</v>
      </c>
      <c r="H469" s="26">
        <f>IFERROR(__xludf.DUMMYFUNCTION("""COMPUTED_VALUE"""),22.6737)</f>
        <v>22.6737</v>
      </c>
    </row>
    <row r="470">
      <c r="A470" s="26" t="str">
        <f>IFERROR(__xludf.DUMMYFUNCTION("""COMPUTED_VALUE"""),"CA-2015-152891")</f>
        <v>CA-2015-152891</v>
      </c>
      <c r="B470" s="27">
        <f>IFERROR(__xludf.DUMMYFUNCTION("""COMPUTED_VALUE"""),42302.0)</f>
        <v>42302</v>
      </c>
      <c r="C470" s="26" t="str">
        <f>IFERROR(__xludf.DUMMYFUNCTION("""COMPUTED_VALUE"""),"Trudy Brown")</f>
        <v>Trudy Brown</v>
      </c>
      <c r="D470" s="26" t="str">
        <f>IFERROR(__xludf.DUMMYFUNCTION("""COMPUTED_VALUE"""),"Consumer")</f>
        <v>Consumer</v>
      </c>
      <c r="E470" s="26" t="str">
        <f>IFERROR(__xludf.DUMMYFUNCTION("""COMPUTED_VALUE"""),"West")</f>
        <v>West</v>
      </c>
      <c r="F470" s="26">
        <f>IFERROR(__xludf.DUMMYFUNCTION("""COMPUTED_VALUE"""),60.45)</f>
        <v>60.45</v>
      </c>
      <c r="G470" s="26">
        <f>IFERROR(__xludf.DUMMYFUNCTION("""COMPUTED_VALUE"""),3.0)</f>
        <v>3</v>
      </c>
      <c r="H470" s="26">
        <f>IFERROR(__xludf.DUMMYFUNCTION("""COMPUTED_VALUE"""),16.3215)</f>
        <v>16.3215</v>
      </c>
    </row>
    <row r="471">
      <c r="A471" s="26" t="str">
        <f>IFERROR(__xludf.DUMMYFUNCTION("""COMPUTED_VALUE"""),"CA-2015-121965")</f>
        <v>CA-2015-121965</v>
      </c>
      <c r="B471" s="27">
        <f>IFERROR(__xludf.DUMMYFUNCTION("""COMPUTED_VALUE"""),42174.0)</f>
        <v>42174</v>
      </c>
      <c r="C471" s="26" t="str">
        <f>IFERROR(__xludf.DUMMYFUNCTION("""COMPUTED_VALUE"""),"Logan Haushalter")</f>
        <v>Logan Haushalter</v>
      </c>
      <c r="D471" s="26" t="str">
        <f>IFERROR(__xludf.DUMMYFUNCTION("""COMPUTED_VALUE"""),"Consumer")</f>
        <v>Consumer</v>
      </c>
      <c r="E471" s="26" t="str">
        <f>IFERROR(__xludf.DUMMYFUNCTION("""COMPUTED_VALUE"""),"West")</f>
        <v>West</v>
      </c>
      <c r="F471" s="26">
        <f>IFERROR(__xludf.DUMMYFUNCTION("""COMPUTED_VALUE"""),12.56)</f>
        <v>12.56</v>
      </c>
      <c r="G471" s="26">
        <f>IFERROR(__xludf.DUMMYFUNCTION("""COMPUTED_VALUE"""),2.0)</f>
        <v>2</v>
      </c>
      <c r="H471" s="26">
        <f>IFERROR(__xludf.DUMMYFUNCTION("""COMPUTED_VALUE"""),4.0192)</f>
        <v>4.0192</v>
      </c>
    </row>
    <row r="472">
      <c r="A472" s="26" t="str">
        <f>IFERROR(__xludf.DUMMYFUNCTION("""COMPUTED_VALUE"""),"US-2015-146745")</f>
        <v>US-2015-146745</v>
      </c>
      <c r="B472" s="27">
        <f>IFERROR(__xludf.DUMMYFUNCTION("""COMPUTED_VALUE"""),42250.0)</f>
        <v>42250</v>
      </c>
      <c r="C472" s="26" t="str">
        <f>IFERROR(__xludf.DUMMYFUNCTION("""COMPUTED_VALUE"""),"Ann Steele")</f>
        <v>Ann Steele</v>
      </c>
      <c r="D472" s="26" t="str">
        <f>IFERROR(__xludf.DUMMYFUNCTION("""COMPUTED_VALUE"""),"Home Office")</f>
        <v>Home Office</v>
      </c>
      <c r="E472" s="26" t="str">
        <f>IFERROR(__xludf.DUMMYFUNCTION("""COMPUTED_VALUE"""),"West")</f>
        <v>West</v>
      </c>
      <c r="F472" s="26">
        <f>IFERROR(__xludf.DUMMYFUNCTION("""COMPUTED_VALUE"""),129.568)</f>
        <v>129.568</v>
      </c>
      <c r="G472" s="26">
        <f>IFERROR(__xludf.DUMMYFUNCTION("""COMPUTED_VALUE"""),2.0)</f>
        <v>2</v>
      </c>
      <c r="H472" s="26">
        <f>IFERROR(__xludf.DUMMYFUNCTION("""COMPUTED_VALUE"""),-12.9568)</f>
        <v>-12.9568</v>
      </c>
    </row>
    <row r="473">
      <c r="A473" s="26" t="str">
        <f>IFERROR(__xludf.DUMMYFUNCTION("""COMPUTED_VALUE"""),"CA-2015-163895")</f>
        <v>CA-2015-163895</v>
      </c>
      <c r="B473" s="27">
        <f>IFERROR(__xludf.DUMMYFUNCTION("""COMPUTED_VALUE"""),42223.0)</f>
        <v>42223</v>
      </c>
      <c r="C473" s="26" t="str">
        <f>IFERROR(__xludf.DUMMYFUNCTION("""COMPUTED_VALUE"""),"Noel Staavos")</f>
        <v>Noel Staavos</v>
      </c>
      <c r="D473" s="26" t="str">
        <f>IFERROR(__xludf.DUMMYFUNCTION("""COMPUTED_VALUE"""),"Corporate")</f>
        <v>Corporate</v>
      </c>
      <c r="E473" s="26" t="str">
        <f>IFERROR(__xludf.DUMMYFUNCTION("""COMPUTED_VALUE"""),"West")</f>
        <v>West</v>
      </c>
      <c r="F473" s="26">
        <f>IFERROR(__xludf.DUMMYFUNCTION("""COMPUTED_VALUE"""),3.304)</f>
        <v>3.304</v>
      </c>
      <c r="G473" s="26">
        <f>IFERROR(__xludf.DUMMYFUNCTION("""COMPUTED_VALUE"""),1.0)</f>
        <v>1</v>
      </c>
      <c r="H473" s="26">
        <f>IFERROR(__xludf.DUMMYFUNCTION("""COMPUTED_VALUE"""),1.1151)</f>
        <v>1.1151</v>
      </c>
    </row>
    <row r="474">
      <c r="A474" s="26" t="str">
        <f>IFERROR(__xludf.DUMMYFUNCTION("""COMPUTED_VALUE"""),"CA-2015-163104")</f>
        <v>CA-2015-163104</v>
      </c>
      <c r="B474" s="27">
        <f>IFERROR(__xludf.DUMMYFUNCTION("""COMPUTED_VALUE"""),42082.0)</f>
        <v>42082</v>
      </c>
      <c r="C474" s="26" t="str">
        <f>IFERROR(__xludf.DUMMYFUNCTION("""COMPUTED_VALUE"""),"Mike Caudle")</f>
        <v>Mike Caudle</v>
      </c>
      <c r="D474" s="26" t="str">
        <f>IFERROR(__xludf.DUMMYFUNCTION("""COMPUTED_VALUE"""),"Corporate")</f>
        <v>Corporate</v>
      </c>
      <c r="E474" s="26" t="str">
        <f>IFERROR(__xludf.DUMMYFUNCTION("""COMPUTED_VALUE"""),"West")</f>
        <v>West</v>
      </c>
      <c r="F474" s="26">
        <f>IFERROR(__xludf.DUMMYFUNCTION("""COMPUTED_VALUE"""),11.96)</f>
        <v>11.96</v>
      </c>
      <c r="G474" s="26">
        <f>IFERROR(__xludf.DUMMYFUNCTION("""COMPUTED_VALUE"""),2.0)</f>
        <v>2</v>
      </c>
      <c r="H474" s="26">
        <f>IFERROR(__xludf.DUMMYFUNCTION("""COMPUTED_VALUE"""),5.8604)</f>
        <v>5.8604</v>
      </c>
    </row>
    <row r="475">
      <c r="A475" s="26" t="str">
        <f>IFERROR(__xludf.DUMMYFUNCTION("""COMPUTED_VALUE"""),"CA-2015-118871")</f>
        <v>CA-2015-118871</v>
      </c>
      <c r="B475" s="27">
        <f>IFERROR(__xludf.DUMMYFUNCTION("""COMPUTED_VALUE"""),42342.0)</f>
        <v>42342</v>
      </c>
      <c r="C475" s="26" t="str">
        <f>IFERROR(__xludf.DUMMYFUNCTION("""COMPUTED_VALUE"""),"Harry Marie")</f>
        <v>Harry Marie</v>
      </c>
      <c r="D475" s="26" t="str">
        <f>IFERROR(__xludf.DUMMYFUNCTION("""COMPUTED_VALUE"""),"Corporate")</f>
        <v>Corporate</v>
      </c>
      <c r="E475" s="26" t="str">
        <f>IFERROR(__xludf.DUMMYFUNCTION("""COMPUTED_VALUE"""),"West")</f>
        <v>West</v>
      </c>
      <c r="F475" s="26">
        <f>IFERROR(__xludf.DUMMYFUNCTION("""COMPUTED_VALUE"""),271.44)</f>
        <v>271.44</v>
      </c>
      <c r="G475" s="26">
        <f>IFERROR(__xludf.DUMMYFUNCTION("""COMPUTED_VALUE"""),3.0)</f>
        <v>3</v>
      </c>
      <c r="H475" s="26">
        <f>IFERROR(__xludf.DUMMYFUNCTION("""COMPUTED_VALUE"""),122.148)</f>
        <v>122.148</v>
      </c>
    </row>
    <row r="476">
      <c r="A476" s="26" t="str">
        <f>IFERROR(__xludf.DUMMYFUNCTION("""COMPUTED_VALUE"""),"CA-2015-130456")</f>
        <v>CA-2015-130456</v>
      </c>
      <c r="B476" s="27">
        <f>IFERROR(__xludf.DUMMYFUNCTION("""COMPUTED_VALUE"""),42237.0)</f>
        <v>42237</v>
      </c>
      <c r="C476" s="26" t="str">
        <f>IFERROR(__xludf.DUMMYFUNCTION("""COMPUTED_VALUE"""),"David Smith")</f>
        <v>David Smith</v>
      </c>
      <c r="D476" s="26" t="str">
        <f>IFERROR(__xludf.DUMMYFUNCTION("""COMPUTED_VALUE"""),"Corporate")</f>
        <v>Corporate</v>
      </c>
      <c r="E476" s="26" t="str">
        <f>IFERROR(__xludf.DUMMYFUNCTION("""COMPUTED_VALUE"""),"West")</f>
        <v>West</v>
      </c>
      <c r="F476" s="26">
        <f>IFERROR(__xludf.DUMMYFUNCTION("""COMPUTED_VALUE"""),586.398)</f>
        <v>586.398</v>
      </c>
      <c r="G476" s="26">
        <f>IFERROR(__xludf.DUMMYFUNCTION("""COMPUTED_VALUE"""),6.0)</f>
        <v>6</v>
      </c>
      <c r="H476" s="26">
        <f>IFERROR(__xludf.DUMMYFUNCTION("""COMPUTED_VALUE"""),34.494)</f>
        <v>34.494</v>
      </c>
    </row>
    <row r="477">
      <c r="A477" s="26" t="str">
        <f>IFERROR(__xludf.DUMMYFUNCTION("""COMPUTED_VALUE"""),"CA-2015-147501")</f>
        <v>CA-2015-147501</v>
      </c>
      <c r="B477" s="27">
        <f>IFERROR(__xludf.DUMMYFUNCTION("""COMPUTED_VALUE"""),42218.0)</f>
        <v>42218</v>
      </c>
      <c r="C477" s="26" t="str">
        <f>IFERROR(__xludf.DUMMYFUNCTION("""COMPUTED_VALUE"""),"Corey-Lock")</f>
        <v>Corey-Lock</v>
      </c>
      <c r="D477" s="26" t="str">
        <f>IFERROR(__xludf.DUMMYFUNCTION("""COMPUTED_VALUE"""),"Consumer")</f>
        <v>Consumer</v>
      </c>
      <c r="E477" s="26" t="str">
        <f>IFERROR(__xludf.DUMMYFUNCTION("""COMPUTED_VALUE"""),"West")</f>
        <v>West</v>
      </c>
      <c r="F477" s="26">
        <f>IFERROR(__xludf.DUMMYFUNCTION("""COMPUTED_VALUE"""),6.368)</f>
        <v>6.368</v>
      </c>
      <c r="G477" s="26">
        <f>IFERROR(__xludf.DUMMYFUNCTION("""COMPUTED_VALUE"""),2.0)</f>
        <v>2</v>
      </c>
      <c r="H477" s="26">
        <f>IFERROR(__xludf.DUMMYFUNCTION("""COMPUTED_VALUE"""),2.1492)</f>
        <v>2.1492</v>
      </c>
    </row>
    <row r="478">
      <c r="A478" s="26" t="str">
        <f>IFERROR(__xludf.DUMMYFUNCTION("""COMPUTED_VALUE"""),"US-2015-122910")</f>
        <v>US-2015-122910</v>
      </c>
      <c r="B478" s="27">
        <f>IFERROR(__xludf.DUMMYFUNCTION("""COMPUTED_VALUE"""),42136.0)</f>
        <v>42136</v>
      </c>
      <c r="C478" s="26" t="str">
        <f>IFERROR(__xludf.DUMMYFUNCTION("""COMPUTED_VALUE"""),"Larry Tron")</f>
        <v>Larry Tron</v>
      </c>
      <c r="D478" s="26" t="str">
        <f>IFERROR(__xludf.DUMMYFUNCTION("""COMPUTED_VALUE"""),"Consumer")</f>
        <v>Consumer</v>
      </c>
      <c r="E478" s="26" t="str">
        <f>IFERROR(__xludf.DUMMYFUNCTION("""COMPUTED_VALUE"""),"West")</f>
        <v>West</v>
      </c>
      <c r="F478" s="26">
        <f>IFERROR(__xludf.DUMMYFUNCTION("""COMPUTED_VALUE"""),201.584)</f>
        <v>201.584</v>
      </c>
      <c r="G478" s="26">
        <f>IFERROR(__xludf.DUMMYFUNCTION("""COMPUTED_VALUE"""),2.0)</f>
        <v>2</v>
      </c>
      <c r="H478" s="26">
        <f>IFERROR(__xludf.DUMMYFUNCTION("""COMPUTED_VALUE"""),20.1584)</f>
        <v>20.1584</v>
      </c>
    </row>
    <row r="479">
      <c r="A479" s="26" t="str">
        <f>IFERROR(__xludf.DUMMYFUNCTION("""COMPUTED_VALUE"""),"CA-2015-109736")</f>
        <v>CA-2015-109736</v>
      </c>
      <c r="B479" s="27">
        <f>IFERROR(__xludf.DUMMYFUNCTION("""COMPUTED_VALUE"""),42287.0)</f>
        <v>42287</v>
      </c>
      <c r="C479" s="26" t="str">
        <f>IFERROR(__xludf.DUMMYFUNCTION("""COMPUTED_VALUE"""),"Denny Joy")</f>
        <v>Denny Joy</v>
      </c>
      <c r="D479" s="26" t="str">
        <f>IFERROR(__xludf.DUMMYFUNCTION("""COMPUTED_VALUE"""),"Corporate")</f>
        <v>Corporate</v>
      </c>
      <c r="E479" s="26" t="str">
        <f>IFERROR(__xludf.DUMMYFUNCTION("""COMPUTED_VALUE"""),"West")</f>
        <v>West</v>
      </c>
      <c r="F479" s="26">
        <f>IFERROR(__xludf.DUMMYFUNCTION("""COMPUTED_VALUE"""),45.36)</f>
        <v>45.36</v>
      </c>
      <c r="G479" s="26">
        <f>IFERROR(__xludf.DUMMYFUNCTION("""COMPUTED_VALUE"""),7.0)</f>
        <v>7</v>
      </c>
      <c r="H479" s="26">
        <f>IFERROR(__xludf.DUMMYFUNCTION("""COMPUTED_VALUE"""),21.7728)</f>
        <v>21.7728</v>
      </c>
    </row>
    <row r="480">
      <c r="A480" s="26" t="str">
        <f>IFERROR(__xludf.DUMMYFUNCTION("""COMPUTED_VALUE"""),"CA-2015-142601")</f>
        <v>CA-2015-142601</v>
      </c>
      <c r="B480" s="27">
        <f>IFERROR(__xludf.DUMMYFUNCTION("""COMPUTED_VALUE"""),42112.0)</f>
        <v>42112</v>
      </c>
      <c r="C480" s="26" t="str">
        <f>IFERROR(__xludf.DUMMYFUNCTION("""COMPUTED_VALUE"""),"Deanra Eno")</f>
        <v>Deanra Eno</v>
      </c>
      <c r="D480" s="26" t="str">
        <f>IFERROR(__xludf.DUMMYFUNCTION("""COMPUTED_VALUE"""),"Home Office")</f>
        <v>Home Office</v>
      </c>
      <c r="E480" s="26" t="str">
        <f>IFERROR(__xludf.DUMMYFUNCTION("""COMPUTED_VALUE"""),"West")</f>
        <v>West</v>
      </c>
      <c r="F480" s="26">
        <f>IFERROR(__xludf.DUMMYFUNCTION("""COMPUTED_VALUE"""),947.17)</f>
        <v>947.17</v>
      </c>
      <c r="G480" s="26">
        <f>IFERROR(__xludf.DUMMYFUNCTION("""COMPUTED_VALUE"""),7.0)</f>
        <v>7</v>
      </c>
      <c r="H480" s="26">
        <f>IFERROR(__xludf.DUMMYFUNCTION("""COMPUTED_VALUE"""),9.4717)</f>
        <v>9.4717</v>
      </c>
    </row>
    <row r="481">
      <c r="A481" s="26" t="str">
        <f>IFERROR(__xludf.DUMMYFUNCTION("""COMPUTED_VALUE"""),"US-2015-103996")</f>
        <v>US-2015-103996</v>
      </c>
      <c r="B481" s="27">
        <f>IFERROR(__xludf.DUMMYFUNCTION("""COMPUTED_VALUE"""),42092.0)</f>
        <v>42092</v>
      </c>
      <c r="C481" s="26" t="str">
        <f>IFERROR(__xludf.DUMMYFUNCTION("""COMPUTED_VALUE"""),"Richard Bierner")</f>
        <v>Richard Bierner</v>
      </c>
      <c r="D481" s="26" t="str">
        <f>IFERROR(__xludf.DUMMYFUNCTION("""COMPUTED_VALUE"""),"Consumer")</f>
        <v>Consumer</v>
      </c>
      <c r="E481" s="26" t="str">
        <f>IFERROR(__xludf.DUMMYFUNCTION("""COMPUTED_VALUE"""),"West")</f>
        <v>West</v>
      </c>
      <c r="F481" s="26">
        <f>IFERROR(__xludf.DUMMYFUNCTION("""COMPUTED_VALUE"""),212.64)</f>
        <v>212.64</v>
      </c>
      <c r="G481" s="26">
        <f>IFERROR(__xludf.DUMMYFUNCTION("""COMPUTED_VALUE"""),6.0)</f>
        <v>6</v>
      </c>
      <c r="H481" s="26">
        <f>IFERROR(__xludf.DUMMYFUNCTION("""COMPUTED_VALUE"""),99.9408)</f>
        <v>99.9408</v>
      </c>
    </row>
    <row r="482">
      <c r="A482" s="26" t="str">
        <f>IFERROR(__xludf.DUMMYFUNCTION("""COMPUTED_VALUE"""),"CA-2015-105725")</f>
        <v>CA-2015-105725</v>
      </c>
      <c r="B482" s="27">
        <f>IFERROR(__xludf.DUMMYFUNCTION("""COMPUTED_VALUE"""),42053.0)</f>
        <v>42053</v>
      </c>
      <c r="C482" s="26" t="str">
        <f>IFERROR(__xludf.DUMMYFUNCTION("""COMPUTED_VALUE"""),"Guy Thornton")</f>
        <v>Guy Thornton</v>
      </c>
      <c r="D482" s="26" t="str">
        <f>IFERROR(__xludf.DUMMYFUNCTION("""COMPUTED_VALUE"""),"Consumer")</f>
        <v>Consumer</v>
      </c>
      <c r="E482" s="26" t="str">
        <f>IFERROR(__xludf.DUMMYFUNCTION("""COMPUTED_VALUE"""),"West")</f>
        <v>West</v>
      </c>
      <c r="F482" s="26">
        <f>IFERROR(__xludf.DUMMYFUNCTION("""COMPUTED_VALUE"""),61.06)</f>
        <v>61.06</v>
      </c>
      <c r="G482" s="26">
        <f>IFERROR(__xludf.DUMMYFUNCTION("""COMPUTED_VALUE"""),2.0)</f>
        <v>2</v>
      </c>
      <c r="H482" s="26">
        <f>IFERROR(__xludf.DUMMYFUNCTION("""COMPUTED_VALUE"""),28.0876)</f>
        <v>28.0876</v>
      </c>
    </row>
    <row r="483">
      <c r="A483" s="26" t="str">
        <f>IFERROR(__xludf.DUMMYFUNCTION("""COMPUTED_VALUE"""),"CA-2015-104346")</f>
        <v>CA-2015-104346</v>
      </c>
      <c r="B483" s="27">
        <f>IFERROR(__xludf.DUMMYFUNCTION("""COMPUTED_VALUE"""),42349.0)</f>
        <v>42349</v>
      </c>
      <c r="C483" s="26" t="str">
        <f>IFERROR(__xludf.DUMMYFUNCTION("""COMPUTED_VALUE"""),"Irene Maddox")</f>
        <v>Irene Maddox</v>
      </c>
      <c r="D483" s="26" t="str">
        <f>IFERROR(__xludf.DUMMYFUNCTION("""COMPUTED_VALUE"""),"Consumer")</f>
        <v>Consumer</v>
      </c>
      <c r="E483" s="26" t="str">
        <f>IFERROR(__xludf.DUMMYFUNCTION("""COMPUTED_VALUE"""),"West")</f>
        <v>West</v>
      </c>
      <c r="F483" s="26">
        <f>IFERROR(__xludf.DUMMYFUNCTION("""COMPUTED_VALUE"""),13.12)</f>
        <v>13.12</v>
      </c>
      <c r="G483" s="26">
        <f>IFERROR(__xludf.DUMMYFUNCTION("""COMPUTED_VALUE"""),5.0)</f>
        <v>5</v>
      </c>
      <c r="H483" s="26">
        <f>IFERROR(__xludf.DUMMYFUNCTION("""COMPUTED_VALUE"""),1.148)</f>
        <v>1.148</v>
      </c>
    </row>
    <row r="484">
      <c r="A484" s="26" t="str">
        <f>IFERROR(__xludf.DUMMYFUNCTION("""COMPUTED_VALUE"""),"CA-2015-144722")</f>
        <v>CA-2015-144722</v>
      </c>
      <c r="B484" s="27">
        <f>IFERROR(__xludf.DUMMYFUNCTION("""COMPUTED_VALUE"""),42079.0)</f>
        <v>42079</v>
      </c>
      <c r="C484" s="26" t="str">
        <f>IFERROR(__xludf.DUMMYFUNCTION("""COMPUTED_VALUE"""),"Monica Federle")</f>
        <v>Monica Federle</v>
      </c>
      <c r="D484" s="26" t="str">
        <f>IFERROR(__xludf.DUMMYFUNCTION("""COMPUTED_VALUE"""),"Corporate")</f>
        <v>Corporate</v>
      </c>
      <c r="E484" s="26" t="str">
        <f>IFERROR(__xludf.DUMMYFUNCTION("""COMPUTED_VALUE"""),"West")</f>
        <v>West</v>
      </c>
      <c r="F484" s="26">
        <f>IFERROR(__xludf.DUMMYFUNCTION("""COMPUTED_VALUE"""),43.13)</f>
        <v>43.13</v>
      </c>
      <c r="G484" s="26">
        <f>IFERROR(__xludf.DUMMYFUNCTION("""COMPUTED_VALUE"""),1.0)</f>
        <v>1</v>
      </c>
      <c r="H484" s="26">
        <f>IFERROR(__xludf.DUMMYFUNCTION("""COMPUTED_VALUE"""),18.1146)</f>
        <v>18.1146</v>
      </c>
    </row>
    <row r="485">
      <c r="A485" s="26" t="str">
        <f>IFERROR(__xludf.DUMMYFUNCTION("""COMPUTED_VALUE"""),"CA-2015-137708")</f>
        <v>CA-2015-137708</v>
      </c>
      <c r="B485" s="27">
        <f>IFERROR(__xludf.DUMMYFUNCTION("""COMPUTED_VALUE"""),42330.0)</f>
        <v>42330</v>
      </c>
      <c r="C485" s="26" t="str">
        <f>IFERROR(__xludf.DUMMYFUNCTION("""COMPUTED_VALUE"""),"Nathan Gelder")</f>
        <v>Nathan Gelder</v>
      </c>
      <c r="D485" s="26" t="str">
        <f>IFERROR(__xludf.DUMMYFUNCTION("""COMPUTED_VALUE"""),"Consumer")</f>
        <v>Consumer</v>
      </c>
      <c r="E485" s="26" t="str">
        <f>IFERROR(__xludf.DUMMYFUNCTION("""COMPUTED_VALUE"""),"West")</f>
        <v>West</v>
      </c>
      <c r="F485" s="26">
        <f>IFERROR(__xludf.DUMMYFUNCTION("""COMPUTED_VALUE"""),37.94)</f>
        <v>37.94</v>
      </c>
      <c r="G485" s="26">
        <f>IFERROR(__xludf.DUMMYFUNCTION("""COMPUTED_VALUE"""),2.0)</f>
        <v>2</v>
      </c>
      <c r="H485" s="26">
        <f>IFERROR(__xludf.DUMMYFUNCTION("""COMPUTED_VALUE"""),18.2112)</f>
        <v>18.2112</v>
      </c>
    </row>
    <row r="486">
      <c r="A486" s="26" t="str">
        <f>IFERROR(__xludf.DUMMYFUNCTION("""COMPUTED_VALUE"""),"CA-2015-137526")</f>
        <v>CA-2015-137526</v>
      </c>
      <c r="B486" s="27">
        <f>IFERROR(__xludf.DUMMYFUNCTION("""COMPUTED_VALUE"""),42017.0)</f>
        <v>42017</v>
      </c>
      <c r="C486" s="26" t="str">
        <f>IFERROR(__xludf.DUMMYFUNCTION("""COMPUTED_VALUE"""),"Philip Brown")</f>
        <v>Philip Brown</v>
      </c>
      <c r="D486" s="26" t="str">
        <f>IFERROR(__xludf.DUMMYFUNCTION("""COMPUTED_VALUE"""),"Consumer")</f>
        <v>Consumer</v>
      </c>
      <c r="E486" s="26" t="str">
        <f>IFERROR(__xludf.DUMMYFUNCTION("""COMPUTED_VALUE"""),"West")</f>
        <v>West</v>
      </c>
      <c r="F486" s="26">
        <f>IFERROR(__xludf.DUMMYFUNCTION("""COMPUTED_VALUE"""),70.008)</f>
        <v>70.008</v>
      </c>
      <c r="G486" s="26">
        <f>IFERROR(__xludf.DUMMYFUNCTION("""COMPUTED_VALUE"""),3.0)</f>
        <v>3</v>
      </c>
      <c r="H486" s="26">
        <f>IFERROR(__xludf.DUMMYFUNCTION("""COMPUTED_VALUE"""),24.5028)</f>
        <v>24.5028</v>
      </c>
    </row>
    <row r="487">
      <c r="A487" s="26" t="str">
        <f>IFERROR(__xludf.DUMMYFUNCTION("""COMPUTED_VALUE"""),"CA-2015-161830")</f>
        <v>CA-2015-161830</v>
      </c>
      <c r="B487" s="27">
        <f>IFERROR(__xludf.DUMMYFUNCTION("""COMPUTED_VALUE"""),42271.0)</f>
        <v>42271</v>
      </c>
      <c r="C487" s="26" t="str">
        <f>IFERROR(__xludf.DUMMYFUNCTION("""COMPUTED_VALUE"""),"Max Engle")</f>
        <v>Max Engle</v>
      </c>
      <c r="D487" s="26" t="str">
        <f>IFERROR(__xludf.DUMMYFUNCTION("""COMPUTED_VALUE"""),"Consumer")</f>
        <v>Consumer</v>
      </c>
      <c r="E487" s="26" t="str">
        <f>IFERROR(__xludf.DUMMYFUNCTION("""COMPUTED_VALUE"""),"West")</f>
        <v>West</v>
      </c>
      <c r="F487" s="26">
        <f>IFERROR(__xludf.DUMMYFUNCTION("""COMPUTED_VALUE"""),35.96)</f>
        <v>35.96</v>
      </c>
      <c r="G487" s="26">
        <f>IFERROR(__xludf.DUMMYFUNCTION("""COMPUTED_VALUE"""),2.0)</f>
        <v>2</v>
      </c>
      <c r="H487" s="26">
        <f>IFERROR(__xludf.DUMMYFUNCTION("""COMPUTED_VALUE"""),10.4284)</f>
        <v>10.4284</v>
      </c>
    </row>
    <row r="488">
      <c r="A488" s="26" t="str">
        <f>IFERROR(__xludf.DUMMYFUNCTION("""COMPUTED_VALUE"""),"CA-2015-106978")</f>
        <v>CA-2015-106978</v>
      </c>
      <c r="B488" s="27">
        <f>IFERROR(__xludf.DUMMYFUNCTION("""COMPUTED_VALUE"""),42275.0)</f>
        <v>42275</v>
      </c>
      <c r="C488" s="26" t="str">
        <f>IFERROR(__xludf.DUMMYFUNCTION("""COMPUTED_VALUE"""),"Zuschuss Carroll")</f>
        <v>Zuschuss Carroll</v>
      </c>
      <c r="D488" s="26" t="str">
        <f>IFERROR(__xludf.DUMMYFUNCTION("""COMPUTED_VALUE"""),"Consumer")</f>
        <v>Consumer</v>
      </c>
      <c r="E488" s="26" t="str">
        <f>IFERROR(__xludf.DUMMYFUNCTION("""COMPUTED_VALUE"""),"West")</f>
        <v>West</v>
      </c>
      <c r="F488" s="26">
        <f>IFERROR(__xludf.DUMMYFUNCTION("""COMPUTED_VALUE"""),12.536)</f>
        <v>12.536</v>
      </c>
      <c r="G488" s="26">
        <f>IFERROR(__xludf.DUMMYFUNCTION("""COMPUTED_VALUE"""),1.0)</f>
        <v>1</v>
      </c>
      <c r="H488" s="26">
        <f>IFERROR(__xludf.DUMMYFUNCTION("""COMPUTED_VALUE"""),4.2309)</f>
        <v>4.2309</v>
      </c>
    </row>
    <row r="489">
      <c r="A489" s="26" t="str">
        <f>IFERROR(__xludf.DUMMYFUNCTION("""COMPUTED_VALUE"""),"CA-2015-155124")</f>
        <v>CA-2015-155124</v>
      </c>
      <c r="B489" s="27">
        <f>IFERROR(__xludf.DUMMYFUNCTION("""COMPUTED_VALUE"""),42078.0)</f>
        <v>42078</v>
      </c>
      <c r="C489" s="26" t="str">
        <f>IFERROR(__xludf.DUMMYFUNCTION("""COMPUTED_VALUE"""),"Karen Seio")</f>
        <v>Karen Seio</v>
      </c>
      <c r="D489" s="26" t="str">
        <f>IFERROR(__xludf.DUMMYFUNCTION("""COMPUTED_VALUE"""),"Corporate")</f>
        <v>Corporate</v>
      </c>
      <c r="E489" s="26" t="str">
        <f>IFERROR(__xludf.DUMMYFUNCTION("""COMPUTED_VALUE"""),"West")</f>
        <v>West</v>
      </c>
      <c r="F489" s="26">
        <f>IFERROR(__xludf.DUMMYFUNCTION("""COMPUTED_VALUE"""),16.776)</f>
        <v>16.776</v>
      </c>
      <c r="G489" s="26">
        <f>IFERROR(__xludf.DUMMYFUNCTION("""COMPUTED_VALUE"""),3.0)</f>
        <v>3</v>
      </c>
      <c r="H489" s="26">
        <f>IFERROR(__xludf.DUMMYFUNCTION("""COMPUTED_VALUE"""),1.6776)</f>
        <v>1.6776</v>
      </c>
    </row>
    <row r="490">
      <c r="A490" s="26" t="str">
        <f>IFERROR(__xludf.DUMMYFUNCTION("""COMPUTED_VALUE"""),"CA-2015-150511")</f>
        <v>CA-2015-150511</v>
      </c>
      <c r="B490" s="27">
        <f>IFERROR(__xludf.DUMMYFUNCTION("""COMPUTED_VALUE"""),42265.0)</f>
        <v>42265</v>
      </c>
      <c r="C490" s="26" t="str">
        <f>IFERROR(__xludf.DUMMYFUNCTION("""COMPUTED_VALUE"""),"Adam Bellavance")</f>
        <v>Adam Bellavance</v>
      </c>
      <c r="D490" s="26" t="str">
        <f>IFERROR(__xludf.DUMMYFUNCTION("""COMPUTED_VALUE"""),"Home Office")</f>
        <v>Home Office</v>
      </c>
      <c r="E490" s="26" t="str">
        <f>IFERROR(__xludf.DUMMYFUNCTION("""COMPUTED_VALUE"""),"West")</f>
        <v>West</v>
      </c>
      <c r="F490" s="26">
        <f>IFERROR(__xludf.DUMMYFUNCTION("""COMPUTED_VALUE"""),18.54)</f>
        <v>18.54</v>
      </c>
      <c r="G490" s="26">
        <f>IFERROR(__xludf.DUMMYFUNCTION("""COMPUTED_VALUE"""),2.0)</f>
        <v>2</v>
      </c>
      <c r="H490" s="26">
        <f>IFERROR(__xludf.DUMMYFUNCTION("""COMPUTED_VALUE"""),8.7138)</f>
        <v>8.7138</v>
      </c>
    </row>
    <row r="491">
      <c r="A491" s="26" t="str">
        <f>IFERROR(__xludf.DUMMYFUNCTION("""COMPUTED_VALUE"""),"CA-2015-162166")</f>
        <v>CA-2015-162166</v>
      </c>
      <c r="B491" s="27">
        <f>IFERROR(__xludf.DUMMYFUNCTION("""COMPUTED_VALUE"""),42255.0)</f>
        <v>42255</v>
      </c>
      <c r="C491" s="26" t="str">
        <f>IFERROR(__xludf.DUMMYFUNCTION("""COMPUTED_VALUE"""),"Neoma Murray")</f>
        <v>Neoma Murray</v>
      </c>
      <c r="D491" s="26" t="str">
        <f>IFERROR(__xludf.DUMMYFUNCTION("""COMPUTED_VALUE"""),"Consumer")</f>
        <v>Consumer</v>
      </c>
      <c r="E491" s="26" t="str">
        <f>IFERROR(__xludf.DUMMYFUNCTION("""COMPUTED_VALUE"""),"West")</f>
        <v>West</v>
      </c>
      <c r="F491" s="26">
        <f>IFERROR(__xludf.DUMMYFUNCTION("""COMPUTED_VALUE"""),26.4)</f>
        <v>26.4</v>
      </c>
      <c r="G491" s="26">
        <f>IFERROR(__xludf.DUMMYFUNCTION("""COMPUTED_VALUE"""),5.0)</f>
        <v>5</v>
      </c>
      <c r="H491" s="26">
        <f>IFERROR(__xludf.DUMMYFUNCTION("""COMPUTED_VALUE"""),11.88)</f>
        <v>11.88</v>
      </c>
    </row>
    <row r="492">
      <c r="A492" s="26" t="str">
        <f>IFERROR(__xludf.DUMMYFUNCTION("""COMPUTED_VALUE"""),"CA-2015-145485")</f>
        <v>CA-2015-145485</v>
      </c>
      <c r="B492" s="27">
        <f>IFERROR(__xludf.DUMMYFUNCTION("""COMPUTED_VALUE"""),42313.0)</f>
        <v>42313</v>
      </c>
      <c r="C492" s="26" t="str">
        <f>IFERROR(__xludf.DUMMYFUNCTION("""COMPUTED_VALUE"""),"Justin MacKendrick")</f>
        <v>Justin MacKendrick</v>
      </c>
      <c r="D492" s="26" t="str">
        <f>IFERROR(__xludf.DUMMYFUNCTION("""COMPUTED_VALUE"""),"Consumer")</f>
        <v>Consumer</v>
      </c>
      <c r="E492" s="26" t="str">
        <f>IFERROR(__xludf.DUMMYFUNCTION("""COMPUTED_VALUE"""),"West")</f>
        <v>West</v>
      </c>
      <c r="F492" s="26">
        <f>IFERROR(__xludf.DUMMYFUNCTION("""COMPUTED_VALUE"""),62.8)</f>
        <v>62.8</v>
      </c>
      <c r="G492" s="26">
        <f>IFERROR(__xludf.DUMMYFUNCTION("""COMPUTED_VALUE"""),4.0)</f>
        <v>4</v>
      </c>
      <c r="H492" s="26">
        <f>IFERROR(__xludf.DUMMYFUNCTION("""COMPUTED_VALUE"""),15.7)</f>
        <v>15.7</v>
      </c>
    </row>
    <row r="493">
      <c r="A493" s="26" t="str">
        <f>IFERROR(__xludf.DUMMYFUNCTION("""COMPUTED_VALUE"""),"CA-2015-141936")</f>
        <v>CA-2015-141936</v>
      </c>
      <c r="B493" s="27">
        <f>IFERROR(__xludf.DUMMYFUNCTION("""COMPUTED_VALUE"""),42223.0)</f>
        <v>42223</v>
      </c>
      <c r="C493" s="26" t="str">
        <f>IFERROR(__xludf.DUMMYFUNCTION("""COMPUTED_VALUE"""),"Parhena Norris")</f>
        <v>Parhena Norris</v>
      </c>
      <c r="D493" s="26" t="str">
        <f>IFERROR(__xludf.DUMMYFUNCTION("""COMPUTED_VALUE"""),"Home Office")</f>
        <v>Home Office</v>
      </c>
      <c r="E493" s="26" t="str">
        <f>IFERROR(__xludf.DUMMYFUNCTION("""COMPUTED_VALUE"""),"West")</f>
        <v>West</v>
      </c>
      <c r="F493" s="26">
        <f>IFERROR(__xludf.DUMMYFUNCTION("""COMPUTED_VALUE"""),19.152)</f>
        <v>19.152</v>
      </c>
      <c r="G493" s="26">
        <f>IFERROR(__xludf.DUMMYFUNCTION("""COMPUTED_VALUE"""),3.0)</f>
        <v>3</v>
      </c>
      <c r="H493" s="26">
        <f>IFERROR(__xludf.DUMMYFUNCTION("""COMPUTED_VALUE"""),6.4638)</f>
        <v>6.4638</v>
      </c>
    </row>
    <row r="494">
      <c r="A494" s="26" t="str">
        <f>IFERROR(__xludf.DUMMYFUNCTION("""COMPUTED_VALUE"""),"CA-2015-146696")</f>
        <v>CA-2015-146696</v>
      </c>
      <c r="B494" s="27">
        <f>IFERROR(__xludf.DUMMYFUNCTION("""COMPUTED_VALUE"""),42352.0)</f>
        <v>42352</v>
      </c>
      <c r="C494" s="26" t="str">
        <f>IFERROR(__xludf.DUMMYFUNCTION("""COMPUTED_VALUE"""),"Rick Duston")</f>
        <v>Rick Duston</v>
      </c>
      <c r="D494" s="26" t="str">
        <f>IFERROR(__xludf.DUMMYFUNCTION("""COMPUTED_VALUE"""),"Consumer")</f>
        <v>Consumer</v>
      </c>
      <c r="E494" s="26" t="str">
        <f>IFERROR(__xludf.DUMMYFUNCTION("""COMPUTED_VALUE"""),"West")</f>
        <v>West</v>
      </c>
      <c r="F494" s="26">
        <f>IFERROR(__xludf.DUMMYFUNCTION("""COMPUTED_VALUE"""),8.096)</f>
        <v>8.096</v>
      </c>
      <c r="G494" s="26">
        <f>IFERROR(__xludf.DUMMYFUNCTION("""COMPUTED_VALUE"""),2.0)</f>
        <v>2</v>
      </c>
      <c r="H494" s="26">
        <f>IFERROR(__xludf.DUMMYFUNCTION("""COMPUTED_VALUE"""),2.7324)</f>
        <v>2.7324</v>
      </c>
    </row>
    <row r="495">
      <c r="A495" s="26" t="str">
        <f>IFERROR(__xludf.DUMMYFUNCTION("""COMPUTED_VALUE"""),"CA-2015-154886")</f>
        <v>CA-2015-154886</v>
      </c>
      <c r="B495" s="27">
        <f>IFERROR(__xludf.DUMMYFUNCTION("""COMPUTED_VALUE"""),42316.0)</f>
        <v>42316</v>
      </c>
      <c r="C495" s="26" t="str">
        <f>IFERROR(__xludf.DUMMYFUNCTION("""COMPUTED_VALUE"""),"Shaun Weien")</f>
        <v>Shaun Weien</v>
      </c>
      <c r="D495" s="26" t="str">
        <f>IFERROR(__xludf.DUMMYFUNCTION("""COMPUTED_VALUE"""),"Consumer")</f>
        <v>Consumer</v>
      </c>
      <c r="E495" s="26" t="str">
        <f>IFERROR(__xludf.DUMMYFUNCTION("""COMPUTED_VALUE"""),"West")</f>
        <v>West</v>
      </c>
      <c r="F495" s="26">
        <f>IFERROR(__xludf.DUMMYFUNCTION("""COMPUTED_VALUE"""),119.9)</f>
        <v>119.9</v>
      </c>
      <c r="G495" s="26">
        <f>IFERROR(__xludf.DUMMYFUNCTION("""COMPUTED_VALUE"""),2.0)</f>
        <v>2</v>
      </c>
      <c r="H495" s="26">
        <f>IFERROR(__xludf.DUMMYFUNCTION("""COMPUTED_VALUE"""),43.164)</f>
        <v>43.164</v>
      </c>
    </row>
    <row r="496">
      <c r="A496" s="26" t="str">
        <f>IFERROR(__xludf.DUMMYFUNCTION("""COMPUTED_VALUE"""),"CA-2015-156146")</f>
        <v>CA-2015-156146</v>
      </c>
      <c r="B496" s="27">
        <f>IFERROR(__xludf.DUMMYFUNCTION("""COMPUTED_VALUE"""),42303.0)</f>
        <v>42303</v>
      </c>
      <c r="C496" s="26" t="str">
        <f>IFERROR(__xludf.DUMMYFUNCTION("""COMPUTED_VALUE"""),"Andrew Gjertsen")</f>
        <v>Andrew Gjertsen</v>
      </c>
      <c r="D496" s="26" t="str">
        <f>IFERROR(__xludf.DUMMYFUNCTION("""COMPUTED_VALUE"""),"Corporate")</f>
        <v>Corporate</v>
      </c>
      <c r="E496" s="26" t="str">
        <f>IFERROR(__xludf.DUMMYFUNCTION("""COMPUTED_VALUE"""),"West")</f>
        <v>West</v>
      </c>
      <c r="F496" s="26">
        <f>IFERROR(__xludf.DUMMYFUNCTION("""COMPUTED_VALUE"""),105.584)</f>
        <v>105.584</v>
      </c>
      <c r="G496" s="26">
        <f>IFERROR(__xludf.DUMMYFUNCTION("""COMPUTED_VALUE"""),2.0)</f>
        <v>2</v>
      </c>
      <c r="H496" s="26">
        <f>IFERROR(__xludf.DUMMYFUNCTION("""COMPUTED_VALUE"""),9.2386)</f>
        <v>9.2386</v>
      </c>
    </row>
    <row r="497">
      <c r="A497" s="26" t="str">
        <f>IFERROR(__xludf.DUMMYFUNCTION("""COMPUTED_VALUE"""),"CA-2015-161627")</f>
        <v>CA-2015-161627</v>
      </c>
      <c r="B497" s="27">
        <f>IFERROR(__xludf.DUMMYFUNCTION("""COMPUTED_VALUE"""),42191.0)</f>
        <v>42191</v>
      </c>
      <c r="C497" s="26" t="str">
        <f>IFERROR(__xludf.DUMMYFUNCTION("""COMPUTED_VALUE"""),"Sarah Jordon")</f>
        <v>Sarah Jordon</v>
      </c>
      <c r="D497" s="26" t="str">
        <f>IFERROR(__xludf.DUMMYFUNCTION("""COMPUTED_VALUE"""),"Consumer")</f>
        <v>Consumer</v>
      </c>
      <c r="E497" s="26" t="str">
        <f>IFERROR(__xludf.DUMMYFUNCTION("""COMPUTED_VALUE"""),"West")</f>
        <v>West</v>
      </c>
      <c r="F497" s="26">
        <f>IFERROR(__xludf.DUMMYFUNCTION("""COMPUTED_VALUE"""),170.352)</f>
        <v>170.352</v>
      </c>
      <c r="G497" s="26">
        <f>IFERROR(__xludf.DUMMYFUNCTION("""COMPUTED_VALUE"""),3.0)</f>
        <v>3</v>
      </c>
      <c r="H497" s="26">
        <f>IFERROR(__xludf.DUMMYFUNCTION("""COMPUTED_VALUE"""),-17.0352)</f>
        <v>-17.0352</v>
      </c>
    </row>
    <row r="498">
      <c r="A498" s="26" t="str">
        <f>IFERROR(__xludf.DUMMYFUNCTION("""COMPUTED_VALUE"""),"CA-2015-107741")</f>
        <v>CA-2015-107741</v>
      </c>
      <c r="B498" s="27">
        <f>IFERROR(__xludf.DUMMYFUNCTION("""COMPUTED_VALUE"""),42071.0)</f>
        <v>42071</v>
      </c>
      <c r="C498" s="26" t="str">
        <f>IFERROR(__xludf.DUMMYFUNCTION("""COMPUTED_VALUE"""),"Fred Chung")</f>
        <v>Fred Chung</v>
      </c>
      <c r="D498" s="26" t="str">
        <f>IFERROR(__xludf.DUMMYFUNCTION("""COMPUTED_VALUE"""),"Corporate")</f>
        <v>Corporate</v>
      </c>
      <c r="E498" s="26" t="str">
        <f>IFERROR(__xludf.DUMMYFUNCTION("""COMPUTED_VALUE"""),"West")</f>
        <v>West</v>
      </c>
      <c r="F498" s="26">
        <f>IFERROR(__xludf.DUMMYFUNCTION("""COMPUTED_VALUE"""),3.408)</f>
        <v>3.408</v>
      </c>
      <c r="G498" s="26">
        <f>IFERROR(__xludf.DUMMYFUNCTION("""COMPUTED_VALUE"""),1.0)</f>
        <v>1</v>
      </c>
      <c r="H498" s="26">
        <f>IFERROR(__xludf.DUMMYFUNCTION("""COMPUTED_VALUE"""),0.8946)</f>
        <v>0.8946</v>
      </c>
    </row>
    <row r="499">
      <c r="A499" s="26" t="str">
        <f>IFERROR(__xludf.DUMMYFUNCTION("""COMPUTED_VALUE"""),"US-2015-120502")</f>
        <v>US-2015-120502</v>
      </c>
      <c r="B499" s="27">
        <f>IFERROR(__xludf.DUMMYFUNCTION("""COMPUTED_VALUE"""),42107.0)</f>
        <v>42107</v>
      </c>
      <c r="C499" s="26" t="str">
        <f>IFERROR(__xludf.DUMMYFUNCTION("""COMPUTED_VALUE"""),"Bill Tyler")</f>
        <v>Bill Tyler</v>
      </c>
      <c r="D499" s="26" t="str">
        <f>IFERROR(__xludf.DUMMYFUNCTION("""COMPUTED_VALUE"""),"Corporate")</f>
        <v>Corporate</v>
      </c>
      <c r="E499" s="26" t="str">
        <f>IFERROR(__xludf.DUMMYFUNCTION("""COMPUTED_VALUE"""),"West")</f>
        <v>West</v>
      </c>
      <c r="F499" s="26">
        <f>IFERROR(__xludf.DUMMYFUNCTION("""COMPUTED_VALUE"""),37.68)</f>
        <v>37.68</v>
      </c>
      <c r="G499" s="26">
        <f>IFERROR(__xludf.DUMMYFUNCTION("""COMPUTED_VALUE"""),2.0)</f>
        <v>2</v>
      </c>
      <c r="H499" s="26">
        <f>IFERROR(__xludf.DUMMYFUNCTION("""COMPUTED_VALUE"""),15.8256)</f>
        <v>15.8256</v>
      </c>
    </row>
    <row r="500">
      <c r="A500" s="26" t="str">
        <f>IFERROR(__xludf.DUMMYFUNCTION("""COMPUTED_VALUE"""),"CA-2015-142454")</f>
        <v>CA-2015-142454</v>
      </c>
      <c r="B500" s="27">
        <f>IFERROR(__xludf.DUMMYFUNCTION("""COMPUTED_VALUE"""),42231.0)</f>
        <v>42231</v>
      </c>
      <c r="C500" s="26" t="str">
        <f>IFERROR(__xludf.DUMMYFUNCTION("""COMPUTED_VALUE"""),"Richard Eichhorn")</f>
        <v>Richard Eichhorn</v>
      </c>
      <c r="D500" s="26" t="str">
        <f>IFERROR(__xludf.DUMMYFUNCTION("""COMPUTED_VALUE"""),"Consumer")</f>
        <v>Consumer</v>
      </c>
      <c r="E500" s="26" t="str">
        <f>IFERROR(__xludf.DUMMYFUNCTION("""COMPUTED_VALUE"""),"West")</f>
        <v>West</v>
      </c>
      <c r="F500" s="26">
        <f>IFERROR(__xludf.DUMMYFUNCTION("""COMPUTED_VALUE"""),104.23)</f>
        <v>104.23</v>
      </c>
      <c r="G500" s="26">
        <f>IFERROR(__xludf.DUMMYFUNCTION("""COMPUTED_VALUE"""),7.0)</f>
        <v>7</v>
      </c>
      <c r="H500" s="26">
        <f>IFERROR(__xludf.DUMMYFUNCTION("""COMPUTED_VALUE"""),28.1421)</f>
        <v>28.1421</v>
      </c>
    </row>
    <row r="501">
      <c r="A501" s="26" t="str">
        <f>IFERROR(__xludf.DUMMYFUNCTION("""COMPUTED_VALUE"""),"CA-2015-119508")</f>
        <v>CA-2015-119508</v>
      </c>
      <c r="B501" s="27">
        <f>IFERROR(__xludf.DUMMYFUNCTION("""COMPUTED_VALUE"""),42342.0)</f>
        <v>42342</v>
      </c>
      <c r="C501" s="26" t="str">
        <f>IFERROR(__xludf.DUMMYFUNCTION("""COMPUTED_VALUE"""),"Tracy Zic")</f>
        <v>Tracy Zic</v>
      </c>
      <c r="D501" s="26" t="str">
        <f>IFERROR(__xludf.DUMMYFUNCTION("""COMPUTED_VALUE"""),"Consumer")</f>
        <v>Consumer</v>
      </c>
      <c r="E501" s="26" t="str">
        <f>IFERROR(__xludf.DUMMYFUNCTION("""COMPUTED_VALUE"""),"West")</f>
        <v>West</v>
      </c>
      <c r="F501" s="26">
        <f>IFERROR(__xludf.DUMMYFUNCTION("""COMPUTED_VALUE"""),16.9)</f>
        <v>16.9</v>
      </c>
      <c r="G501" s="26">
        <f>IFERROR(__xludf.DUMMYFUNCTION("""COMPUTED_VALUE"""),5.0)</f>
        <v>5</v>
      </c>
      <c r="H501" s="26">
        <f>IFERROR(__xludf.DUMMYFUNCTION("""COMPUTED_VALUE"""),6.253)</f>
        <v>6.253</v>
      </c>
    </row>
    <row r="502">
      <c r="A502" s="26" t="str">
        <f>IFERROR(__xludf.DUMMYFUNCTION("""COMPUTED_VALUE"""),"CA-2015-169278")</f>
        <v>CA-2015-169278</v>
      </c>
      <c r="B502" s="27">
        <f>IFERROR(__xludf.DUMMYFUNCTION("""COMPUTED_VALUE"""),42145.0)</f>
        <v>42145</v>
      </c>
      <c r="C502" s="26" t="str">
        <f>IFERROR(__xludf.DUMMYFUNCTION("""COMPUTED_VALUE"""),"Michelle Ellison")</f>
        <v>Michelle Ellison</v>
      </c>
      <c r="D502" s="26" t="str">
        <f>IFERROR(__xludf.DUMMYFUNCTION("""COMPUTED_VALUE"""),"Corporate")</f>
        <v>Corporate</v>
      </c>
      <c r="E502" s="26" t="str">
        <f>IFERROR(__xludf.DUMMYFUNCTION("""COMPUTED_VALUE"""),"West")</f>
        <v>West</v>
      </c>
      <c r="F502" s="26">
        <f>IFERROR(__xludf.DUMMYFUNCTION("""COMPUTED_VALUE"""),26.976)</f>
        <v>26.976</v>
      </c>
      <c r="G502" s="26">
        <f>IFERROR(__xludf.DUMMYFUNCTION("""COMPUTED_VALUE"""),4.0)</f>
        <v>4</v>
      </c>
      <c r="H502" s="26">
        <f>IFERROR(__xludf.DUMMYFUNCTION("""COMPUTED_VALUE"""),8.7672)</f>
        <v>8.7672</v>
      </c>
    </row>
    <row r="503">
      <c r="A503" s="26" t="str">
        <f>IFERROR(__xludf.DUMMYFUNCTION("""COMPUTED_VALUE"""),"CA-2015-160171")</f>
        <v>CA-2015-160171</v>
      </c>
      <c r="B503" s="27">
        <f>IFERROR(__xludf.DUMMYFUNCTION("""COMPUTED_VALUE"""),42296.0)</f>
        <v>42296</v>
      </c>
      <c r="C503" s="26" t="str">
        <f>IFERROR(__xludf.DUMMYFUNCTION("""COMPUTED_VALUE"""),"Robert Marley")</f>
        <v>Robert Marley</v>
      </c>
      <c r="D503" s="26" t="str">
        <f>IFERROR(__xludf.DUMMYFUNCTION("""COMPUTED_VALUE"""),"Home Office")</f>
        <v>Home Office</v>
      </c>
      <c r="E503" s="26" t="str">
        <f>IFERROR(__xludf.DUMMYFUNCTION("""COMPUTED_VALUE"""),"West")</f>
        <v>West</v>
      </c>
      <c r="F503" s="26">
        <f>IFERROR(__xludf.DUMMYFUNCTION("""COMPUTED_VALUE"""),1640.7)</f>
        <v>1640.7</v>
      </c>
      <c r="G503" s="26">
        <f>IFERROR(__xludf.DUMMYFUNCTION("""COMPUTED_VALUE"""),5.0)</f>
        <v>5</v>
      </c>
      <c r="H503" s="26">
        <f>IFERROR(__xludf.DUMMYFUNCTION("""COMPUTED_VALUE"""),459.396)</f>
        <v>459.396</v>
      </c>
    </row>
    <row r="504">
      <c r="A504" s="26" t="str">
        <f>IFERROR(__xludf.DUMMYFUNCTION("""COMPUTED_VALUE"""),"CA-2015-168529")</f>
        <v>CA-2015-168529</v>
      </c>
      <c r="B504" s="27">
        <f>IFERROR(__xludf.DUMMYFUNCTION("""COMPUTED_VALUE"""),42285.0)</f>
        <v>42285</v>
      </c>
      <c r="C504" s="26" t="str">
        <f>IFERROR(__xludf.DUMMYFUNCTION("""COMPUTED_VALUE"""),"Maria Bertelson")</f>
        <v>Maria Bertelson</v>
      </c>
      <c r="D504" s="26" t="str">
        <f>IFERROR(__xludf.DUMMYFUNCTION("""COMPUTED_VALUE"""),"Consumer")</f>
        <v>Consumer</v>
      </c>
      <c r="E504" s="26" t="str">
        <f>IFERROR(__xludf.DUMMYFUNCTION("""COMPUTED_VALUE"""),"West")</f>
        <v>West</v>
      </c>
      <c r="F504" s="26">
        <f>IFERROR(__xludf.DUMMYFUNCTION("""COMPUTED_VALUE"""),145.9)</f>
        <v>145.9</v>
      </c>
      <c r="G504" s="26">
        <f>IFERROR(__xludf.DUMMYFUNCTION("""COMPUTED_VALUE"""),5.0)</f>
        <v>5</v>
      </c>
      <c r="H504" s="26">
        <f>IFERROR(__xludf.DUMMYFUNCTION("""COMPUTED_VALUE"""),62.737)</f>
        <v>62.737</v>
      </c>
    </row>
    <row r="505">
      <c r="A505" s="26" t="str">
        <f>IFERROR(__xludf.DUMMYFUNCTION("""COMPUTED_VALUE"""),"US-2015-114741")</f>
        <v>US-2015-114741</v>
      </c>
      <c r="B505" s="27">
        <f>IFERROR(__xludf.DUMMYFUNCTION("""COMPUTED_VALUE"""),42344.0)</f>
        <v>42344</v>
      </c>
      <c r="C505" s="26" t="str">
        <f>IFERROR(__xludf.DUMMYFUNCTION("""COMPUTED_VALUE"""),"Ivan Liston")</f>
        <v>Ivan Liston</v>
      </c>
      <c r="D505" s="26" t="str">
        <f>IFERROR(__xludf.DUMMYFUNCTION("""COMPUTED_VALUE"""),"Consumer")</f>
        <v>Consumer</v>
      </c>
      <c r="E505" s="26" t="str">
        <f>IFERROR(__xludf.DUMMYFUNCTION("""COMPUTED_VALUE"""),"West")</f>
        <v>West</v>
      </c>
      <c r="F505" s="26">
        <f>IFERROR(__xludf.DUMMYFUNCTION("""COMPUTED_VALUE"""),6.48)</f>
        <v>6.48</v>
      </c>
      <c r="G505" s="26">
        <f>IFERROR(__xludf.DUMMYFUNCTION("""COMPUTED_VALUE"""),1.0)</f>
        <v>1</v>
      </c>
      <c r="H505" s="26">
        <f>IFERROR(__xludf.DUMMYFUNCTION("""COMPUTED_VALUE"""),3.1104)</f>
        <v>3.1104</v>
      </c>
    </row>
    <row r="506">
      <c r="A506" s="26" t="str">
        <f>IFERROR(__xludf.DUMMYFUNCTION("""COMPUTED_VALUE"""),"CA-2015-149993")</f>
        <v>CA-2015-149993</v>
      </c>
      <c r="B506" s="27">
        <f>IFERROR(__xludf.DUMMYFUNCTION("""COMPUTED_VALUE"""),42082.0)</f>
        <v>42082</v>
      </c>
      <c r="C506" s="26" t="str">
        <f>IFERROR(__xludf.DUMMYFUNCTION("""COMPUTED_VALUE"""),"Guy Armstrong")</f>
        <v>Guy Armstrong</v>
      </c>
      <c r="D506" s="26" t="str">
        <f>IFERROR(__xludf.DUMMYFUNCTION("""COMPUTED_VALUE"""),"Consumer")</f>
        <v>Consumer</v>
      </c>
      <c r="E506" s="26" t="str">
        <f>IFERROR(__xludf.DUMMYFUNCTION("""COMPUTED_VALUE"""),"West")</f>
        <v>West</v>
      </c>
      <c r="F506" s="26">
        <f>IFERROR(__xludf.DUMMYFUNCTION("""COMPUTED_VALUE"""),10.9)</f>
        <v>10.9</v>
      </c>
      <c r="G506" s="26">
        <f>IFERROR(__xludf.DUMMYFUNCTION("""COMPUTED_VALUE"""),5.0)</f>
        <v>5</v>
      </c>
      <c r="H506" s="26">
        <f>IFERROR(__xludf.DUMMYFUNCTION("""COMPUTED_VALUE"""),3.597)</f>
        <v>3.597</v>
      </c>
    </row>
    <row r="507">
      <c r="A507" s="26" t="str">
        <f>IFERROR(__xludf.DUMMYFUNCTION("""COMPUTED_VALUE"""),"CA-2015-168634")</f>
        <v>CA-2015-168634</v>
      </c>
      <c r="B507" s="27">
        <f>IFERROR(__xludf.DUMMYFUNCTION("""COMPUTED_VALUE"""),42344.0)</f>
        <v>42344</v>
      </c>
      <c r="C507" s="26" t="str">
        <f>IFERROR(__xludf.DUMMYFUNCTION("""COMPUTED_VALUE"""),"Art Ferguson")</f>
        <v>Art Ferguson</v>
      </c>
      <c r="D507" s="26" t="str">
        <f>IFERROR(__xludf.DUMMYFUNCTION("""COMPUTED_VALUE"""),"Consumer")</f>
        <v>Consumer</v>
      </c>
      <c r="E507" s="26" t="str">
        <f>IFERROR(__xludf.DUMMYFUNCTION("""COMPUTED_VALUE"""),"West")</f>
        <v>West</v>
      </c>
      <c r="F507" s="26">
        <f>IFERROR(__xludf.DUMMYFUNCTION("""COMPUTED_VALUE"""),7.78)</f>
        <v>7.78</v>
      </c>
      <c r="G507" s="26">
        <f>IFERROR(__xludf.DUMMYFUNCTION("""COMPUTED_VALUE"""),2.0)</f>
        <v>2</v>
      </c>
      <c r="H507" s="26">
        <f>IFERROR(__xludf.DUMMYFUNCTION("""COMPUTED_VALUE"""),2.0228)</f>
        <v>2.0228</v>
      </c>
    </row>
    <row r="508">
      <c r="A508" s="26" t="str">
        <f>IFERROR(__xludf.DUMMYFUNCTION("""COMPUTED_VALUE"""),"CA-2015-101154")</f>
        <v>CA-2015-101154</v>
      </c>
      <c r="B508" s="27">
        <f>IFERROR(__xludf.DUMMYFUNCTION("""COMPUTED_VALUE"""),42265.0)</f>
        <v>42265</v>
      </c>
      <c r="C508" s="26" t="str">
        <f>IFERROR(__xludf.DUMMYFUNCTION("""COMPUTED_VALUE"""),"Charlotte Melton")</f>
        <v>Charlotte Melton</v>
      </c>
      <c r="D508" s="26" t="str">
        <f>IFERROR(__xludf.DUMMYFUNCTION("""COMPUTED_VALUE"""),"Consumer")</f>
        <v>Consumer</v>
      </c>
      <c r="E508" s="26" t="str">
        <f>IFERROR(__xludf.DUMMYFUNCTION("""COMPUTED_VALUE"""),"West")</f>
        <v>West</v>
      </c>
      <c r="F508" s="26">
        <f>IFERROR(__xludf.DUMMYFUNCTION("""COMPUTED_VALUE"""),443.92)</f>
        <v>443.92</v>
      </c>
      <c r="G508" s="26">
        <f>IFERROR(__xludf.DUMMYFUNCTION("""COMPUTED_VALUE"""),4.0)</f>
        <v>4</v>
      </c>
      <c r="H508" s="26">
        <f>IFERROR(__xludf.DUMMYFUNCTION("""COMPUTED_VALUE"""),8.8784)</f>
        <v>8.8784</v>
      </c>
    </row>
    <row r="509">
      <c r="A509" s="26" t="str">
        <f>IFERROR(__xludf.DUMMYFUNCTION("""COMPUTED_VALUE"""),"CA-2015-141012")</f>
        <v>CA-2015-141012</v>
      </c>
      <c r="B509" s="27">
        <f>IFERROR(__xludf.DUMMYFUNCTION("""COMPUTED_VALUE"""),42164.0)</f>
        <v>42164</v>
      </c>
      <c r="C509" s="26" t="str">
        <f>IFERROR(__xludf.DUMMYFUNCTION("""COMPUTED_VALUE"""),"Trudy Glocke")</f>
        <v>Trudy Glocke</v>
      </c>
      <c r="D509" s="26" t="str">
        <f>IFERROR(__xludf.DUMMYFUNCTION("""COMPUTED_VALUE"""),"Consumer")</f>
        <v>Consumer</v>
      </c>
      <c r="E509" s="26" t="str">
        <f>IFERROR(__xludf.DUMMYFUNCTION("""COMPUTED_VALUE"""),"West")</f>
        <v>West</v>
      </c>
      <c r="F509" s="26">
        <f>IFERROR(__xludf.DUMMYFUNCTION("""COMPUTED_VALUE"""),355.36)</f>
        <v>355.36</v>
      </c>
      <c r="G509" s="26">
        <f>IFERROR(__xludf.DUMMYFUNCTION("""COMPUTED_VALUE"""),4.0)</f>
        <v>4</v>
      </c>
      <c r="H509" s="26">
        <f>IFERROR(__xludf.DUMMYFUNCTION("""COMPUTED_VALUE"""),92.3936)</f>
        <v>92.3936</v>
      </c>
    </row>
    <row r="510">
      <c r="A510" s="26" t="str">
        <f>IFERROR(__xludf.DUMMYFUNCTION("""COMPUTED_VALUE"""),"CA-2015-131072")</f>
        <v>CA-2015-131072</v>
      </c>
      <c r="B510" s="27">
        <f>IFERROR(__xludf.DUMMYFUNCTION("""COMPUTED_VALUE"""),42313.0)</f>
        <v>42313</v>
      </c>
      <c r="C510" s="26" t="str">
        <f>IFERROR(__xludf.DUMMYFUNCTION("""COMPUTED_VALUE"""),"Ken Lonsdale")</f>
        <v>Ken Lonsdale</v>
      </c>
      <c r="D510" s="26" t="str">
        <f>IFERROR(__xludf.DUMMYFUNCTION("""COMPUTED_VALUE"""),"Consumer")</f>
        <v>Consumer</v>
      </c>
      <c r="E510" s="26" t="str">
        <f>IFERROR(__xludf.DUMMYFUNCTION("""COMPUTED_VALUE"""),"West")</f>
        <v>West</v>
      </c>
      <c r="F510" s="26">
        <f>IFERROR(__xludf.DUMMYFUNCTION("""COMPUTED_VALUE"""),98.352)</f>
        <v>98.352</v>
      </c>
      <c r="G510" s="26">
        <f>IFERROR(__xludf.DUMMYFUNCTION("""COMPUTED_VALUE"""),3.0)</f>
        <v>3</v>
      </c>
      <c r="H510" s="26">
        <f>IFERROR(__xludf.DUMMYFUNCTION("""COMPUTED_VALUE"""),35.6526)</f>
        <v>35.6526</v>
      </c>
    </row>
    <row r="511">
      <c r="A511" s="26" t="str">
        <f>IFERROR(__xludf.DUMMYFUNCTION("""COMPUTED_VALUE"""),"CA-2015-138674")</f>
        <v>CA-2015-138674</v>
      </c>
      <c r="B511" s="27">
        <f>IFERROR(__xludf.DUMMYFUNCTION("""COMPUTED_VALUE"""),42322.0)</f>
        <v>42322</v>
      </c>
      <c r="C511" s="26" t="str">
        <f>IFERROR(__xludf.DUMMYFUNCTION("""COMPUTED_VALUE"""),"Ken Black")</f>
        <v>Ken Black</v>
      </c>
      <c r="D511" s="26" t="str">
        <f>IFERROR(__xludf.DUMMYFUNCTION("""COMPUTED_VALUE"""),"Corporate")</f>
        <v>Corporate</v>
      </c>
      <c r="E511" s="26" t="str">
        <f>IFERROR(__xludf.DUMMYFUNCTION("""COMPUTED_VALUE"""),"West")</f>
        <v>West</v>
      </c>
      <c r="F511" s="26">
        <f>IFERROR(__xludf.DUMMYFUNCTION("""COMPUTED_VALUE"""),8.72)</f>
        <v>8.72</v>
      </c>
      <c r="G511" s="26">
        <f>IFERROR(__xludf.DUMMYFUNCTION("""COMPUTED_VALUE"""),5.0)</f>
        <v>5</v>
      </c>
      <c r="H511" s="26">
        <f>IFERROR(__xludf.DUMMYFUNCTION("""COMPUTED_VALUE"""),2.289)</f>
        <v>2.289</v>
      </c>
    </row>
    <row r="512">
      <c r="A512" s="26" t="str">
        <f>IFERROR(__xludf.DUMMYFUNCTION("""COMPUTED_VALUE"""),"CA-2015-117772")</f>
        <v>CA-2015-117772</v>
      </c>
      <c r="B512" s="27">
        <f>IFERROR(__xludf.DUMMYFUNCTION("""COMPUTED_VALUE"""),42257.0)</f>
        <v>42257</v>
      </c>
      <c r="C512" s="26" t="str">
        <f>IFERROR(__xludf.DUMMYFUNCTION("""COMPUTED_VALUE"""),"Matt Collins")</f>
        <v>Matt Collins</v>
      </c>
      <c r="D512" s="26" t="str">
        <f>IFERROR(__xludf.DUMMYFUNCTION("""COMPUTED_VALUE"""),"Consumer")</f>
        <v>Consumer</v>
      </c>
      <c r="E512" s="26" t="str">
        <f>IFERROR(__xludf.DUMMYFUNCTION("""COMPUTED_VALUE"""),"West")</f>
        <v>West</v>
      </c>
      <c r="F512" s="26">
        <f>IFERROR(__xludf.DUMMYFUNCTION("""COMPUTED_VALUE"""),353.88)</f>
        <v>353.88</v>
      </c>
      <c r="G512" s="26">
        <f>IFERROR(__xludf.DUMMYFUNCTION("""COMPUTED_VALUE"""),6.0)</f>
        <v>6</v>
      </c>
      <c r="H512" s="26">
        <f>IFERROR(__xludf.DUMMYFUNCTION("""COMPUTED_VALUE"""),17.694)</f>
        <v>17.694</v>
      </c>
    </row>
    <row r="513">
      <c r="A513" s="26" t="str">
        <f>IFERROR(__xludf.DUMMYFUNCTION("""COMPUTED_VALUE"""),"CA-2015-103835")</f>
        <v>CA-2015-103835</v>
      </c>
      <c r="B513" s="27">
        <f>IFERROR(__xludf.DUMMYFUNCTION("""COMPUTED_VALUE"""),42271.0)</f>
        <v>42271</v>
      </c>
      <c r="C513" s="26" t="str">
        <f>IFERROR(__xludf.DUMMYFUNCTION("""COMPUTED_VALUE"""),"Shaun Chance")</f>
        <v>Shaun Chance</v>
      </c>
      <c r="D513" s="26" t="str">
        <f>IFERROR(__xludf.DUMMYFUNCTION("""COMPUTED_VALUE"""),"Corporate")</f>
        <v>Corporate</v>
      </c>
      <c r="E513" s="26" t="str">
        <f>IFERROR(__xludf.DUMMYFUNCTION("""COMPUTED_VALUE"""),"West")</f>
        <v>West</v>
      </c>
      <c r="F513" s="26">
        <f>IFERROR(__xludf.DUMMYFUNCTION("""COMPUTED_VALUE"""),14.91)</f>
        <v>14.91</v>
      </c>
      <c r="G513" s="26">
        <f>IFERROR(__xludf.DUMMYFUNCTION("""COMPUTED_VALUE"""),3.0)</f>
        <v>3</v>
      </c>
      <c r="H513" s="26">
        <f>IFERROR(__xludf.DUMMYFUNCTION("""COMPUTED_VALUE"""),4.6221)</f>
        <v>4.6221</v>
      </c>
    </row>
    <row r="514">
      <c r="A514" s="26" t="str">
        <f>IFERROR(__xludf.DUMMYFUNCTION("""COMPUTED_VALUE"""),"US-2015-159513")</f>
        <v>US-2015-159513</v>
      </c>
      <c r="B514" s="27">
        <f>IFERROR(__xludf.DUMMYFUNCTION("""COMPUTED_VALUE"""),42096.0)</f>
        <v>42096</v>
      </c>
      <c r="C514" s="26" t="str">
        <f>IFERROR(__xludf.DUMMYFUNCTION("""COMPUTED_VALUE"""),"John Dryer")</f>
        <v>John Dryer</v>
      </c>
      <c r="D514" s="26" t="str">
        <f>IFERROR(__xludf.DUMMYFUNCTION("""COMPUTED_VALUE"""),"Consumer")</f>
        <v>Consumer</v>
      </c>
      <c r="E514" s="26" t="str">
        <f>IFERROR(__xludf.DUMMYFUNCTION("""COMPUTED_VALUE"""),"West")</f>
        <v>West</v>
      </c>
      <c r="F514" s="26">
        <f>IFERROR(__xludf.DUMMYFUNCTION("""COMPUTED_VALUE"""),71.976)</f>
        <v>71.976</v>
      </c>
      <c r="G514" s="26">
        <f>IFERROR(__xludf.DUMMYFUNCTION("""COMPUTED_VALUE"""),3.0)</f>
        <v>3</v>
      </c>
      <c r="H514" s="26">
        <f>IFERROR(__xludf.DUMMYFUNCTION("""COMPUTED_VALUE"""),24.2919)</f>
        <v>24.2919</v>
      </c>
    </row>
    <row r="515">
      <c r="A515" s="26" t="str">
        <f>IFERROR(__xludf.DUMMYFUNCTION("""COMPUTED_VALUE"""),"CA-2015-155586")</f>
        <v>CA-2015-155586</v>
      </c>
      <c r="B515" s="27">
        <f>IFERROR(__xludf.DUMMYFUNCTION("""COMPUTED_VALUE"""),42350.0)</f>
        <v>42350</v>
      </c>
      <c r="C515" s="26" t="str">
        <f>IFERROR(__xludf.DUMMYFUNCTION("""COMPUTED_VALUE"""),"Xylona Preis")</f>
        <v>Xylona Preis</v>
      </c>
      <c r="D515" s="26" t="str">
        <f>IFERROR(__xludf.DUMMYFUNCTION("""COMPUTED_VALUE"""),"Consumer")</f>
        <v>Consumer</v>
      </c>
      <c r="E515" s="26" t="str">
        <f>IFERROR(__xludf.DUMMYFUNCTION("""COMPUTED_VALUE"""),"West")</f>
        <v>West</v>
      </c>
      <c r="F515" s="26">
        <f>IFERROR(__xludf.DUMMYFUNCTION("""COMPUTED_VALUE"""),2.21)</f>
        <v>2.21</v>
      </c>
      <c r="G515" s="26">
        <f>IFERROR(__xludf.DUMMYFUNCTION("""COMPUTED_VALUE"""),1.0)</f>
        <v>1</v>
      </c>
      <c r="H515" s="26">
        <f>IFERROR(__xludf.DUMMYFUNCTION("""COMPUTED_VALUE"""),0.5967)</f>
        <v>0.5967</v>
      </c>
    </row>
    <row r="516">
      <c r="A516" s="26" t="str">
        <f>IFERROR(__xludf.DUMMYFUNCTION("""COMPUTED_VALUE"""),"CA-2015-163440")</f>
        <v>CA-2015-163440</v>
      </c>
      <c r="B516" s="27">
        <f>IFERROR(__xludf.DUMMYFUNCTION("""COMPUTED_VALUE"""),42085.0)</f>
        <v>42085</v>
      </c>
      <c r="C516" s="26" t="str">
        <f>IFERROR(__xludf.DUMMYFUNCTION("""COMPUTED_VALUE"""),"Ruben Dartt")</f>
        <v>Ruben Dartt</v>
      </c>
      <c r="D516" s="26" t="str">
        <f>IFERROR(__xludf.DUMMYFUNCTION("""COMPUTED_VALUE"""),"Consumer")</f>
        <v>Consumer</v>
      </c>
      <c r="E516" s="26" t="str">
        <f>IFERROR(__xludf.DUMMYFUNCTION("""COMPUTED_VALUE"""),"West")</f>
        <v>West</v>
      </c>
      <c r="F516" s="26">
        <f>IFERROR(__xludf.DUMMYFUNCTION("""COMPUTED_VALUE"""),15.984)</f>
        <v>15.984</v>
      </c>
      <c r="G516" s="26">
        <f>IFERROR(__xludf.DUMMYFUNCTION("""COMPUTED_VALUE"""),2.0)</f>
        <v>2</v>
      </c>
      <c r="H516" s="26">
        <f>IFERROR(__xludf.DUMMYFUNCTION("""COMPUTED_VALUE"""),1.1988)</f>
        <v>1.1988</v>
      </c>
    </row>
    <row r="517">
      <c r="A517" s="26" t="str">
        <f>IFERROR(__xludf.DUMMYFUNCTION("""COMPUTED_VALUE"""),"US-2015-163279")</f>
        <v>US-2015-163279</v>
      </c>
      <c r="B517" s="27">
        <f>IFERROR(__xludf.DUMMYFUNCTION("""COMPUTED_VALUE"""),42085.0)</f>
        <v>42085</v>
      </c>
      <c r="C517" s="26" t="str">
        <f>IFERROR(__xludf.DUMMYFUNCTION("""COMPUTED_VALUE"""),"Justin Deggeller")</f>
        <v>Justin Deggeller</v>
      </c>
      <c r="D517" s="26" t="str">
        <f>IFERROR(__xludf.DUMMYFUNCTION("""COMPUTED_VALUE"""),"Corporate")</f>
        <v>Corporate</v>
      </c>
      <c r="E517" s="26" t="str">
        <f>IFERROR(__xludf.DUMMYFUNCTION("""COMPUTED_VALUE"""),"West")</f>
        <v>West</v>
      </c>
      <c r="F517" s="26">
        <f>IFERROR(__xludf.DUMMYFUNCTION("""COMPUTED_VALUE"""),105.52)</f>
        <v>105.52</v>
      </c>
      <c r="G517" s="26">
        <f>IFERROR(__xludf.DUMMYFUNCTION("""COMPUTED_VALUE"""),4.0)</f>
        <v>4</v>
      </c>
      <c r="H517" s="26">
        <f>IFERROR(__xludf.DUMMYFUNCTION("""COMPUTED_VALUE"""),48.5392)</f>
        <v>48.5392</v>
      </c>
    </row>
    <row r="518">
      <c r="A518" s="26" t="str">
        <f>IFERROR(__xludf.DUMMYFUNCTION("""COMPUTED_VALUE"""),"CA-2015-111206")</f>
        <v>CA-2015-111206</v>
      </c>
      <c r="B518" s="27">
        <f>IFERROR(__xludf.DUMMYFUNCTION("""COMPUTED_VALUE"""),42203.0)</f>
        <v>42203</v>
      </c>
      <c r="C518" s="26" t="str">
        <f>IFERROR(__xludf.DUMMYFUNCTION("""COMPUTED_VALUE"""),"Roland Fjeld")</f>
        <v>Roland Fjeld</v>
      </c>
      <c r="D518" s="26" t="str">
        <f>IFERROR(__xludf.DUMMYFUNCTION("""COMPUTED_VALUE"""),"Consumer")</f>
        <v>Consumer</v>
      </c>
      <c r="E518" s="26" t="str">
        <f>IFERROR(__xludf.DUMMYFUNCTION("""COMPUTED_VALUE"""),"West")</f>
        <v>West</v>
      </c>
      <c r="F518" s="26">
        <f>IFERROR(__xludf.DUMMYFUNCTION("""COMPUTED_VALUE"""),519.96)</f>
        <v>519.96</v>
      </c>
      <c r="G518" s="26">
        <f>IFERROR(__xludf.DUMMYFUNCTION("""COMPUTED_VALUE"""),4.0)</f>
        <v>4</v>
      </c>
      <c r="H518" s="26">
        <f>IFERROR(__xludf.DUMMYFUNCTION("""COMPUTED_VALUE"""),176.7864)</f>
        <v>176.7864</v>
      </c>
    </row>
    <row r="519">
      <c r="A519" s="26" t="str">
        <f>IFERROR(__xludf.DUMMYFUNCTION("""COMPUTED_VALUE"""),"CA-2015-132948")</f>
        <v>CA-2015-132948</v>
      </c>
      <c r="B519" s="27">
        <f>IFERROR(__xludf.DUMMYFUNCTION("""COMPUTED_VALUE"""),42090.0)</f>
        <v>42090</v>
      </c>
      <c r="C519" s="26" t="str">
        <f>IFERROR(__xludf.DUMMYFUNCTION("""COMPUTED_VALUE"""),"Mark Van Huff")</f>
        <v>Mark Van Huff</v>
      </c>
      <c r="D519" s="26" t="str">
        <f>IFERROR(__xludf.DUMMYFUNCTION("""COMPUTED_VALUE"""),"Consumer")</f>
        <v>Consumer</v>
      </c>
      <c r="E519" s="26" t="str">
        <f>IFERROR(__xludf.DUMMYFUNCTION("""COMPUTED_VALUE"""),"West")</f>
        <v>West</v>
      </c>
      <c r="F519" s="26">
        <f>IFERROR(__xludf.DUMMYFUNCTION("""COMPUTED_VALUE"""),83.7)</f>
        <v>83.7</v>
      </c>
      <c r="G519" s="26">
        <f>IFERROR(__xludf.DUMMYFUNCTION("""COMPUTED_VALUE"""),5.0)</f>
        <v>5</v>
      </c>
      <c r="H519" s="26">
        <f>IFERROR(__xludf.DUMMYFUNCTION("""COMPUTED_VALUE"""),3.348)</f>
        <v>3.348</v>
      </c>
    </row>
    <row r="520">
      <c r="A520" s="26" t="str">
        <f>IFERROR(__xludf.DUMMYFUNCTION("""COMPUTED_VALUE"""),"CA-2015-126725")</f>
        <v>CA-2015-126725</v>
      </c>
      <c r="B520" s="27">
        <f>IFERROR(__xludf.DUMMYFUNCTION("""COMPUTED_VALUE"""),42325.0)</f>
        <v>42325</v>
      </c>
      <c r="C520" s="26" t="str">
        <f>IFERROR(__xludf.DUMMYFUNCTION("""COMPUTED_VALUE"""),"Brian Stugart")</f>
        <v>Brian Stugart</v>
      </c>
      <c r="D520" s="26" t="str">
        <f>IFERROR(__xludf.DUMMYFUNCTION("""COMPUTED_VALUE"""),"Consumer")</f>
        <v>Consumer</v>
      </c>
      <c r="E520" s="26" t="str">
        <f>IFERROR(__xludf.DUMMYFUNCTION("""COMPUTED_VALUE"""),"West")</f>
        <v>West</v>
      </c>
      <c r="F520" s="26">
        <f>IFERROR(__xludf.DUMMYFUNCTION("""COMPUTED_VALUE"""),415.968)</f>
        <v>415.968</v>
      </c>
      <c r="G520" s="26">
        <f>IFERROR(__xludf.DUMMYFUNCTION("""COMPUTED_VALUE"""),4.0)</f>
        <v>4</v>
      </c>
      <c r="H520" s="26">
        <f>IFERROR(__xludf.DUMMYFUNCTION("""COMPUTED_VALUE"""),51.996)</f>
        <v>51.996</v>
      </c>
    </row>
    <row r="521">
      <c r="A521" s="26" t="str">
        <f>IFERROR(__xludf.DUMMYFUNCTION("""COMPUTED_VALUE"""),"CA-2015-146465")</f>
        <v>CA-2015-146465</v>
      </c>
      <c r="B521" s="27">
        <f>IFERROR(__xludf.DUMMYFUNCTION("""COMPUTED_VALUE"""),42328.0)</f>
        <v>42328</v>
      </c>
      <c r="C521" s="26" t="str">
        <f>IFERROR(__xludf.DUMMYFUNCTION("""COMPUTED_VALUE"""),"Patrick Bzostek")</f>
        <v>Patrick Bzostek</v>
      </c>
      <c r="D521" s="26" t="str">
        <f>IFERROR(__xludf.DUMMYFUNCTION("""COMPUTED_VALUE"""),"Home Office")</f>
        <v>Home Office</v>
      </c>
      <c r="E521" s="26" t="str">
        <f>IFERROR(__xludf.DUMMYFUNCTION("""COMPUTED_VALUE"""),"West")</f>
        <v>West</v>
      </c>
      <c r="F521" s="26">
        <f>IFERROR(__xludf.DUMMYFUNCTION("""COMPUTED_VALUE"""),24.192)</f>
        <v>24.192</v>
      </c>
      <c r="G521" s="26">
        <f>IFERROR(__xludf.DUMMYFUNCTION("""COMPUTED_VALUE"""),9.0)</f>
        <v>9</v>
      </c>
      <c r="H521" s="26">
        <f>IFERROR(__xludf.DUMMYFUNCTION("""COMPUTED_VALUE"""),7.56)</f>
        <v>7.56</v>
      </c>
    </row>
    <row r="522">
      <c r="A522" s="26" t="str">
        <f>IFERROR(__xludf.DUMMYFUNCTION("""COMPUTED_VALUE"""),"CA-2015-135580")</f>
        <v>CA-2015-135580</v>
      </c>
      <c r="B522" s="27">
        <f>IFERROR(__xludf.DUMMYFUNCTION("""COMPUTED_VALUE"""),42368.0)</f>
        <v>42368</v>
      </c>
      <c r="C522" s="26" t="str">
        <f>IFERROR(__xludf.DUMMYFUNCTION("""COMPUTED_VALUE"""),"Clay Ludtke")</f>
        <v>Clay Ludtke</v>
      </c>
      <c r="D522" s="26" t="str">
        <f>IFERROR(__xludf.DUMMYFUNCTION("""COMPUTED_VALUE"""),"Consumer")</f>
        <v>Consumer</v>
      </c>
      <c r="E522" s="26" t="str">
        <f>IFERROR(__xludf.DUMMYFUNCTION("""COMPUTED_VALUE"""),"West")</f>
        <v>West</v>
      </c>
      <c r="F522" s="26">
        <f>IFERROR(__xludf.DUMMYFUNCTION("""COMPUTED_VALUE"""),68.52)</f>
        <v>68.52</v>
      </c>
      <c r="G522" s="26">
        <f>IFERROR(__xludf.DUMMYFUNCTION("""COMPUTED_VALUE"""),3.0)</f>
        <v>3</v>
      </c>
      <c r="H522" s="26">
        <f>IFERROR(__xludf.DUMMYFUNCTION("""COMPUTED_VALUE"""),31.5192)</f>
        <v>31.5192</v>
      </c>
    </row>
    <row r="523">
      <c r="A523" s="26" t="str">
        <f>IFERROR(__xludf.DUMMYFUNCTION("""COMPUTED_VALUE"""),"CA-2015-130253")</f>
        <v>CA-2015-130253</v>
      </c>
      <c r="B523" s="27">
        <f>IFERROR(__xludf.DUMMYFUNCTION("""COMPUTED_VALUE"""),42352.0)</f>
        <v>42352</v>
      </c>
      <c r="C523" s="26" t="str">
        <f>IFERROR(__xludf.DUMMYFUNCTION("""COMPUTED_VALUE"""),"Paul Prost")</f>
        <v>Paul Prost</v>
      </c>
      <c r="D523" s="26" t="str">
        <f>IFERROR(__xludf.DUMMYFUNCTION("""COMPUTED_VALUE"""),"Home Office")</f>
        <v>Home Office</v>
      </c>
      <c r="E523" s="26" t="str">
        <f>IFERROR(__xludf.DUMMYFUNCTION("""COMPUTED_VALUE"""),"West")</f>
        <v>West</v>
      </c>
      <c r="F523" s="26">
        <f>IFERROR(__xludf.DUMMYFUNCTION("""COMPUTED_VALUE"""),15.24)</f>
        <v>15.24</v>
      </c>
      <c r="G523" s="26">
        <f>IFERROR(__xludf.DUMMYFUNCTION("""COMPUTED_VALUE"""),3.0)</f>
        <v>3</v>
      </c>
      <c r="H523" s="26">
        <f>IFERROR(__xludf.DUMMYFUNCTION("""COMPUTED_VALUE"""),5.1816)</f>
        <v>5.1816</v>
      </c>
    </row>
    <row r="524">
      <c r="A524" s="26" t="str">
        <f>IFERROR(__xludf.DUMMYFUNCTION("""COMPUTED_VALUE"""),"CA-2015-113215")</f>
        <v>CA-2015-113215</v>
      </c>
      <c r="B524" s="27">
        <f>IFERROR(__xludf.DUMMYFUNCTION("""COMPUTED_VALUE"""),42250.0)</f>
        <v>42250</v>
      </c>
      <c r="C524" s="26" t="str">
        <f>IFERROR(__xludf.DUMMYFUNCTION("""COMPUTED_VALUE"""),"Cathy Prescott")</f>
        <v>Cathy Prescott</v>
      </c>
      <c r="D524" s="26" t="str">
        <f>IFERROR(__xludf.DUMMYFUNCTION("""COMPUTED_VALUE"""),"Corporate")</f>
        <v>Corporate</v>
      </c>
      <c r="E524" s="26" t="str">
        <f>IFERROR(__xludf.DUMMYFUNCTION("""COMPUTED_VALUE"""),"West")</f>
        <v>West</v>
      </c>
      <c r="F524" s="26">
        <f>IFERROR(__xludf.DUMMYFUNCTION("""COMPUTED_VALUE"""),238.152)</f>
        <v>238.152</v>
      </c>
      <c r="G524" s="26">
        <f>IFERROR(__xludf.DUMMYFUNCTION("""COMPUTED_VALUE"""),3.0)</f>
        <v>3</v>
      </c>
      <c r="H524" s="26">
        <f>IFERROR(__xludf.DUMMYFUNCTION("""COMPUTED_VALUE"""),89.307)</f>
        <v>89.307</v>
      </c>
    </row>
    <row r="525">
      <c r="A525" s="26" t="str">
        <f>IFERROR(__xludf.DUMMYFUNCTION("""COMPUTED_VALUE"""),"CA-2015-111780")</f>
        <v>CA-2015-111780</v>
      </c>
      <c r="B525" s="27">
        <f>IFERROR(__xludf.DUMMYFUNCTION("""COMPUTED_VALUE"""),42363.0)</f>
        <v>42363</v>
      </c>
      <c r="C525" s="26" t="str">
        <f>IFERROR(__xludf.DUMMYFUNCTION("""COMPUTED_VALUE"""),"Ralph Arnett")</f>
        <v>Ralph Arnett</v>
      </c>
      <c r="D525" s="26" t="str">
        <f>IFERROR(__xludf.DUMMYFUNCTION("""COMPUTED_VALUE"""),"Consumer")</f>
        <v>Consumer</v>
      </c>
      <c r="E525" s="26" t="str">
        <f>IFERROR(__xludf.DUMMYFUNCTION("""COMPUTED_VALUE"""),"West")</f>
        <v>West</v>
      </c>
      <c r="F525" s="26">
        <f>IFERROR(__xludf.DUMMYFUNCTION("""COMPUTED_VALUE"""),1199.96)</f>
        <v>1199.96</v>
      </c>
      <c r="G525" s="26">
        <f>IFERROR(__xludf.DUMMYFUNCTION("""COMPUTED_VALUE"""),5.0)</f>
        <v>5</v>
      </c>
      <c r="H525" s="26">
        <f>IFERROR(__xludf.DUMMYFUNCTION("""COMPUTED_VALUE"""),224.9925)</f>
        <v>224.9925</v>
      </c>
    </row>
    <row r="526">
      <c r="A526" s="26" t="str">
        <f>IFERROR(__xludf.DUMMYFUNCTION("""COMPUTED_VALUE"""),"CA-2015-114048")</f>
        <v>CA-2015-114048</v>
      </c>
      <c r="B526" s="27">
        <f>IFERROR(__xludf.DUMMYFUNCTION("""COMPUTED_VALUE"""),42352.0)</f>
        <v>42352</v>
      </c>
      <c r="C526" s="26" t="str">
        <f>IFERROR(__xludf.DUMMYFUNCTION("""COMPUTED_VALUE"""),"Eric Hoffmann")</f>
        <v>Eric Hoffmann</v>
      </c>
      <c r="D526" s="26" t="str">
        <f>IFERROR(__xludf.DUMMYFUNCTION("""COMPUTED_VALUE"""),"Consumer")</f>
        <v>Consumer</v>
      </c>
      <c r="E526" s="26" t="str">
        <f>IFERROR(__xludf.DUMMYFUNCTION("""COMPUTED_VALUE"""),"West")</f>
        <v>West</v>
      </c>
      <c r="F526" s="26">
        <f>IFERROR(__xludf.DUMMYFUNCTION("""COMPUTED_VALUE"""),29.22)</f>
        <v>29.22</v>
      </c>
      <c r="G526" s="26">
        <f>IFERROR(__xludf.DUMMYFUNCTION("""COMPUTED_VALUE"""),3.0)</f>
        <v>3</v>
      </c>
      <c r="H526" s="26">
        <f>IFERROR(__xludf.DUMMYFUNCTION("""COMPUTED_VALUE"""),12.8568)</f>
        <v>12.8568</v>
      </c>
    </row>
    <row r="527">
      <c r="A527" s="26" t="str">
        <f>IFERROR(__xludf.DUMMYFUNCTION("""COMPUTED_VALUE"""),"US-2015-113593")</f>
        <v>US-2015-113593</v>
      </c>
      <c r="B527" s="27">
        <f>IFERROR(__xludf.DUMMYFUNCTION("""COMPUTED_VALUE"""),42112.0)</f>
        <v>42112</v>
      </c>
      <c r="C527" s="26" t="str">
        <f>IFERROR(__xludf.DUMMYFUNCTION("""COMPUTED_VALUE"""),"Nathan Cano")</f>
        <v>Nathan Cano</v>
      </c>
      <c r="D527" s="26" t="str">
        <f>IFERROR(__xludf.DUMMYFUNCTION("""COMPUTED_VALUE"""),"Consumer")</f>
        <v>Consumer</v>
      </c>
      <c r="E527" s="26" t="str">
        <f>IFERROR(__xludf.DUMMYFUNCTION("""COMPUTED_VALUE"""),"West")</f>
        <v>West</v>
      </c>
      <c r="F527" s="26">
        <f>IFERROR(__xludf.DUMMYFUNCTION("""COMPUTED_VALUE"""),115.44)</f>
        <v>115.44</v>
      </c>
      <c r="G527" s="26">
        <f>IFERROR(__xludf.DUMMYFUNCTION("""COMPUTED_VALUE"""),3.0)</f>
        <v>3</v>
      </c>
      <c r="H527" s="26">
        <f>IFERROR(__xludf.DUMMYFUNCTION("""COMPUTED_VALUE"""),30.0144)</f>
        <v>30.0144</v>
      </c>
    </row>
    <row r="528">
      <c r="A528" s="26" t="str">
        <f>IFERROR(__xludf.DUMMYFUNCTION("""COMPUTED_VALUE"""),"CA-2015-132815")</f>
        <v>CA-2015-132815</v>
      </c>
      <c r="B528" s="27">
        <f>IFERROR(__xludf.DUMMYFUNCTION("""COMPUTED_VALUE"""),42266.0)</f>
        <v>42266</v>
      </c>
      <c r="C528" s="26" t="str">
        <f>IFERROR(__xludf.DUMMYFUNCTION("""COMPUTED_VALUE"""),"Rick Wilson")</f>
        <v>Rick Wilson</v>
      </c>
      <c r="D528" s="26" t="str">
        <f>IFERROR(__xludf.DUMMYFUNCTION("""COMPUTED_VALUE"""),"Corporate")</f>
        <v>Corporate</v>
      </c>
      <c r="E528" s="26" t="str">
        <f>IFERROR(__xludf.DUMMYFUNCTION("""COMPUTED_VALUE"""),"West")</f>
        <v>West</v>
      </c>
      <c r="F528" s="26">
        <f>IFERROR(__xludf.DUMMYFUNCTION("""COMPUTED_VALUE"""),22.96)</f>
        <v>22.96</v>
      </c>
      <c r="G528" s="26">
        <f>IFERROR(__xludf.DUMMYFUNCTION("""COMPUTED_VALUE"""),2.0)</f>
        <v>2</v>
      </c>
      <c r="H528" s="26">
        <f>IFERROR(__xludf.DUMMYFUNCTION("""COMPUTED_VALUE"""),11.2504)</f>
        <v>11.2504</v>
      </c>
    </row>
    <row r="529">
      <c r="A529" s="26" t="str">
        <f>IFERROR(__xludf.DUMMYFUNCTION("""COMPUTED_VALUE"""),"CA-2015-133445")</f>
        <v>CA-2015-133445</v>
      </c>
      <c r="B529" s="27">
        <f>IFERROR(__xludf.DUMMYFUNCTION("""COMPUTED_VALUE"""),42282.0)</f>
        <v>42282</v>
      </c>
      <c r="C529" s="26" t="str">
        <f>IFERROR(__xludf.DUMMYFUNCTION("""COMPUTED_VALUE"""),"Jeremy Farry")</f>
        <v>Jeremy Farry</v>
      </c>
      <c r="D529" s="26" t="str">
        <f>IFERROR(__xludf.DUMMYFUNCTION("""COMPUTED_VALUE"""),"Consumer")</f>
        <v>Consumer</v>
      </c>
      <c r="E529" s="26" t="str">
        <f>IFERROR(__xludf.DUMMYFUNCTION("""COMPUTED_VALUE"""),"West")</f>
        <v>West</v>
      </c>
      <c r="F529" s="26">
        <f>IFERROR(__xludf.DUMMYFUNCTION("""COMPUTED_VALUE"""),66.294)</f>
        <v>66.294</v>
      </c>
      <c r="G529" s="26">
        <f>IFERROR(__xludf.DUMMYFUNCTION("""COMPUTED_VALUE"""),1.0)</f>
        <v>1</v>
      </c>
      <c r="H529" s="26">
        <f>IFERROR(__xludf.DUMMYFUNCTION("""COMPUTED_VALUE"""),-103.8606)</f>
        <v>-103.8606</v>
      </c>
    </row>
    <row r="530">
      <c r="A530" s="26" t="str">
        <f>IFERROR(__xludf.DUMMYFUNCTION("""COMPUTED_VALUE"""),"CA-2015-134075")</f>
        <v>CA-2015-134075</v>
      </c>
      <c r="B530" s="27">
        <f>IFERROR(__xludf.DUMMYFUNCTION("""COMPUTED_VALUE"""),42350.0)</f>
        <v>42350</v>
      </c>
      <c r="C530" s="26" t="str">
        <f>IFERROR(__xludf.DUMMYFUNCTION("""COMPUTED_VALUE"""),"Helen Abelman")</f>
        <v>Helen Abelman</v>
      </c>
      <c r="D530" s="26" t="str">
        <f>IFERROR(__xludf.DUMMYFUNCTION("""COMPUTED_VALUE"""),"Consumer")</f>
        <v>Consumer</v>
      </c>
      <c r="E530" s="26" t="str">
        <f>IFERROR(__xludf.DUMMYFUNCTION("""COMPUTED_VALUE"""),"West")</f>
        <v>West</v>
      </c>
      <c r="F530" s="26">
        <f>IFERROR(__xludf.DUMMYFUNCTION("""COMPUTED_VALUE"""),166.5)</f>
        <v>166.5</v>
      </c>
      <c r="G530" s="26">
        <f>IFERROR(__xludf.DUMMYFUNCTION("""COMPUTED_VALUE"""),3.0)</f>
        <v>3</v>
      </c>
      <c r="H530" s="26">
        <f>IFERROR(__xludf.DUMMYFUNCTION("""COMPUTED_VALUE"""),21.645)</f>
        <v>21.645</v>
      </c>
    </row>
    <row r="531">
      <c r="A531" s="26" t="str">
        <f>IFERROR(__xludf.DUMMYFUNCTION("""COMPUTED_VALUE"""),"CA-2015-112305")</f>
        <v>CA-2015-112305</v>
      </c>
      <c r="B531" s="27">
        <f>IFERROR(__xludf.DUMMYFUNCTION("""COMPUTED_VALUE"""),42328.0)</f>
        <v>42328</v>
      </c>
      <c r="C531" s="26" t="str">
        <f>IFERROR(__xludf.DUMMYFUNCTION("""COMPUTED_VALUE"""),"Katrina Bavinger")</f>
        <v>Katrina Bavinger</v>
      </c>
      <c r="D531" s="26" t="str">
        <f>IFERROR(__xludf.DUMMYFUNCTION("""COMPUTED_VALUE"""),"Home Office")</f>
        <v>Home Office</v>
      </c>
      <c r="E531" s="26" t="str">
        <f>IFERROR(__xludf.DUMMYFUNCTION("""COMPUTED_VALUE"""),"West")</f>
        <v>West</v>
      </c>
      <c r="F531" s="26">
        <f>IFERROR(__xludf.DUMMYFUNCTION("""COMPUTED_VALUE"""),119.04)</f>
        <v>119.04</v>
      </c>
      <c r="G531" s="26">
        <f>IFERROR(__xludf.DUMMYFUNCTION("""COMPUTED_VALUE"""),6.0)</f>
        <v>6</v>
      </c>
      <c r="H531" s="26">
        <f>IFERROR(__xludf.DUMMYFUNCTION("""COMPUTED_VALUE"""),30.9504)</f>
        <v>30.9504</v>
      </c>
    </row>
    <row r="532">
      <c r="A532" s="26" t="str">
        <f>IFERROR(__xludf.DUMMYFUNCTION("""COMPUTED_VALUE"""),"CA-2015-162607")</f>
        <v>CA-2015-162607</v>
      </c>
      <c r="B532" s="27">
        <f>IFERROR(__xludf.DUMMYFUNCTION("""COMPUTED_VALUE"""),42136.0)</f>
        <v>42136</v>
      </c>
      <c r="C532" s="26" t="str">
        <f>IFERROR(__xludf.DUMMYFUNCTION("""COMPUTED_VALUE"""),"Rose O'Brian")</f>
        <v>Rose O'Brian</v>
      </c>
      <c r="D532" s="26" t="str">
        <f>IFERROR(__xludf.DUMMYFUNCTION("""COMPUTED_VALUE"""),"Consumer")</f>
        <v>Consumer</v>
      </c>
      <c r="E532" s="26" t="str">
        <f>IFERROR(__xludf.DUMMYFUNCTION("""COMPUTED_VALUE"""),"West")</f>
        <v>West</v>
      </c>
      <c r="F532" s="26">
        <f>IFERROR(__xludf.DUMMYFUNCTION("""COMPUTED_VALUE"""),14.592)</f>
        <v>14.592</v>
      </c>
      <c r="G532" s="26">
        <f>IFERROR(__xludf.DUMMYFUNCTION("""COMPUTED_VALUE"""),3.0)</f>
        <v>3</v>
      </c>
      <c r="H532" s="26">
        <f>IFERROR(__xludf.DUMMYFUNCTION("""COMPUTED_VALUE"""),4.9248)</f>
        <v>4.9248</v>
      </c>
    </row>
    <row r="533">
      <c r="A533" s="26" t="str">
        <f>IFERROR(__xludf.DUMMYFUNCTION("""COMPUTED_VALUE"""),"US-2015-139675")</f>
        <v>US-2015-139675</v>
      </c>
      <c r="B533" s="27">
        <f>IFERROR(__xludf.DUMMYFUNCTION("""COMPUTED_VALUE"""),42076.0)</f>
        <v>42076</v>
      </c>
      <c r="C533" s="26" t="str">
        <f>IFERROR(__xludf.DUMMYFUNCTION("""COMPUTED_VALUE"""),"Nicole Fjeld")</f>
        <v>Nicole Fjeld</v>
      </c>
      <c r="D533" s="26" t="str">
        <f>IFERROR(__xludf.DUMMYFUNCTION("""COMPUTED_VALUE"""),"Home Office")</f>
        <v>Home Office</v>
      </c>
      <c r="E533" s="26" t="str">
        <f>IFERROR(__xludf.DUMMYFUNCTION("""COMPUTED_VALUE"""),"West")</f>
        <v>West</v>
      </c>
      <c r="F533" s="26">
        <f>IFERROR(__xludf.DUMMYFUNCTION("""COMPUTED_VALUE"""),915.136)</f>
        <v>915.136</v>
      </c>
      <c r="G533" s="26">
        <f>IFERROR(__xludf.DUMMYFUNCTION("""COMPUTED_VALUE"""),4.0)</f>
        <v>4</v>
      </c>
      <c r="H533" s="26">
        <f>IFERROR(__xludf.DUMMYFUNCTION("""COMPUTED_VALUE"""),102.9528)</f>
        <v>102.9528</v>
      </c>
    </row>
    <row r="534">
      <c r="A534" s="26" t="str">
        <f>IFERROR(__xludf.DUMMYFUNCTION("""COMPUTED_VALUE"""),"CA-2015-151253")</f>
        <v>CA-2015-151253</v>
      </c>
      <c r="B534" s="27">
        <f>IFERROR(__xludf.DUMMYFUNCTION("""COMPUTED_VALUE"""),42116.0)</f>
        <v>42116</v>
      </c>
      <c r="C534" s="26" t="str">
        <f>IFERROR(__xludf.DUMMYFUNCTION("""COMPUTED_VALUE"""),"Annie Zypern")</f>
        <v>Annie Zypern</v>
      </c>
      <c r="D534" s="26" t="str">
        <f>IFERROR(__xludf.DUMMYFUNCTION("""COMPUTED_VALUE"""),"Consumer")</f>
        <v>Consumer</v>
      </c>
      <c r="E534" s="26" t="str">
        <f>IFERROR(__xludf.DUMMYFUNCTION("""COMPUTED_VALUE"""),"West")</f>
        <v>West</v>
      </c>
      <c r="F534" s="26">
        <f>IFERROR(__xludf.DUMMYFUNCTION("""COMPUTED_VALUE"""),88.776)</f>
        <v>88.776</v>
      </c>
      <c r="G534" s="26">
        <f>IFERROR(__xludf.DUMMYFUNCTION("""COMPUTED_VALUE"""),3.0)</f>
        <v>3</v>
      </c>
      <c r="H534" s="26">
        <f>IFERROR(__xludf.DUMMYFUNCTION("""COMPUTED_VALUE"""),7.7679)</f>
        <v>7.7679</v>
      </c>
    </row>
    <row r="535">
      <c r="A535" s="26" t="str">
        <f>IFERROR(__xludf.DUMMYFUNCTION("""COMPUTED_VALUE"""),"CA-2015-110289")</f>
        <v>CA-2015-110289</v>
      </c>
      <c r="B535" s="27">
        <f>IFERROR(__xludf.DUMMYFUNCTION("""COMPUTED_VALUE"""),42306.0)</f>
        <v>42306</v>
      </c>
      <c r="C535" s="26" t="str">
        <f>IFERROR(__xludf.DUMMYFUNCTION("""COMPUTED_VALUE"""),"Nona Balk")</f>
        <v>Nona Balk</v>
      </c>
      <c r="D535" s="26" t="str">
        <f>IFERROR(__xludf.DUMMYFUNCTION("""COMPUTED_VALUE"""),"Corporate")</f>
        <v>Corporate</v>
      </c>
      <c r="E535" s="26" t="str">
        <f>IFERROR(__xludf.DUMMYFUNCTION("""COMPUTED_VALUE"""),"West")</f>
        <v>West</v>
      </c>
      <c r="F535" s="26">
        <f>IFERROR(__xludf.DUMMYFUNCTION("""COMPUTED_VALUE"""),33.4)</f>
        <v>33.4</v>
      </c>
      <c r="G535" s="26">
        <f>IFERROR(__xludf.DUMMYFUNCTION("""COMPUTED_VALUE"""),5.0)</f>
        <v>5</v>
      </c>
      <c r="H535" s="26">
        <f>IFERROR(__xludf.DUMMYFUNCTION("""COMPUTED_VALUE"""),16.032)</f>
        <v>16.032</v>
      </c>
    </row>
    <row r="536">
      <c r="A536" s="26" t="str">
        <f>IFERROR(__xludf.DUMMYFUNCTION("""COMPUTED_VALUE"""),"CA-2015-104486")</f>
        <v>CA-2015-104486</v>
      </c>
      <c r="B536" s="27">
        <f>IFERROR(__xludf.DUMMYFUNCTION("""COMPUTED_VALUE"""),42125.0)</f>
        <v>42125</v>
      </c>
      <c r="C536" s="26" t="str">
        <f>IFERROR(__xludf.DUMMYFUNCTION("""COMPUTED_VALUE"""),"Patrick O'Brill")</f>
        <v>Patrick O'Brill</v>
      </c>
      <c r="D536" s="26" t="str">
        <f>IFERROR(__xludf.DUMMYFUNCTION("""COMPUTED_VALUE"""),"Consumer")</f>
        <v>Consumer</v>
      </c>
      <c r="E536" s="26" t="str">
        <f>IFERROR(__xludf.DUMMYFUNCTION("""COMPUTED_VALUE"""),"West")</f>
        <v>West</v>
      </c>
      <c r="F536" s="26">
        <f>IFERROR(__xludf.DUMMYFUNCTION("""COMPUTED_VALUE"""),12.176)</f>
        <v>12.176</v>
      </c>
      <c r="G536" s="26">
        <f>IFERROR(__xludf.DUMMYFUNCTION("""COMPUTED_VALUE"""),1.0)</f>
        <v>1</v>
      </c>
      <c r="H536" s="26">
        <f>IFERROR(__xludf.DUMMYFUNCTION("""COMPUTED_VALUE"""),4.4138)</f>
        <v>4.4138</v>
      </c>
    </row>
    <row r="537">
      <c r="A537" s="26" t="str">
        <f>IFERROR(__xludf.DUMMYFUNCTION("""COMPUTED_VALUE"""),"CA-2015-115693")</f>
        <v>CA-2015-115693</v>
      </c>
      <c r="B537" s="27">
        <f>IFERROR(__xludf.DUMMYFUNCTION("""COMPUTED_VALUE"""),42348.0)</f>
        <v>42348</v>
      </c>
      <c r="C537" s="26" t="str">
        <f>IFERROR(__xludf.DUMMYFUNCTION("""COMPUTED_VALUE"""),"Frank Carlisle")</f>
        <v>Frank Carlisle</v>
      </c>
      <c r="D537" s="26" t="str">
        <f>IFERROR(__xludf.DUMMYFUNCTION("""COMPUTED_VALUE"""),"Home Office")</f>
        <v>Home Office</v>
      </c>
      <c r="E537" s="26" t="str">
        <f>IFERROR(__xludf.DUMMYFUNCTION("""COMPUTED_VALUE"""),"West")</f>
        <v>West</v>
      </c>
      <c r="F537" s="26">
        <f>IFERROR(__xludf.DUMMYFUNCTION("""COMPUTED_VALUE"""),56.3)</f>
        <v>56.3</v>
      </c>
      <c r="G537" s="26">
        <f>IFERROR(__xludf.DUMMYFUNCTION("""COMPUTED_VALUE"""),2.0)</f>
        <v>2</v>
      </c>
      <c r="H537" s="26">
        <f>IFERROR(__xludf.DUMMYFUNCTION("""COMPUTED_VALUE"""),15.764)</f>
        <v>15.764</v>
      </c>
    </row>
    <row r="538">
      <c r="A538" s="26" t="str">
        <f>IFERROR(__xludf.DUMMYFUNCTION("""COMPUTED_VALUE"""),"CA-2015-149650")</f>
        <v>CA-2015-149650</v>
      </c>
      <c r="B538" s="27">
        <f>IFERROR(__xludf.DUMMYFUNCTION("""COMPUTED_VALUE"""),42301.0)</f>
        <v>42301</v>
      </c>
      <c r="C538" s="26" t="str">
        <f>IFERROR(__xludf.DUMMYFUNCTION("""COMPUTED_VALUE"""),"Robert Dilbeck")</f>
        <v>Robert Dilbeck</v>
      </c>
      <c r="D538" s="26" t="str">
        <f>IFERROR(__xludf.DUMMYFUNCTION("""COMPUTED_VALUE"""),"Home Office")</f>
        <v>Home Office</v>
      </c>
      <c r="E538" s="26" t="str">
        <f>IFERROR(__xludf.DUMMYFUNCTION("""COMPUTED_VALUE"""),"West")</f>
        <v>West</v>
      </c>
      <c r="F538" s="26">
        <f>IFERROR(__xludf.DUMMYFUNCTION("""COMPUTED_VALUE"""),454.272)</f>
        <v>454.272</v>
      </c>
      <c r="G538" s="26">
        <f>IFERROR(__xludf.DUMMYFUNCTION("""COMPUTED_VALUE"""),8.0)</f>
        <v>8</v>
      </c>
      <c r="H538" s="26">
        <f>IFERROR(__xludf.DUMMYFUNCTION("""COMPUTED_VALUE"""),-73.8192)</f>
        <v>-73.8192</v>
      </c>
    </row>
    <row r="539">
      <c r="A539" s="26" t="str">
        <f>IFERROR(__xludf.DUMMYFUNCTION("""COMPUTED_VALUE"""),"CA-2015-103716")</f>
        <v>CA-2015-103716</v>
      </c>
      <c r="B539" s="27">
        <f>IFERROR(__xludf.DUMMYFUNCTION("""COMPUTED_VALUE"""),42124.0)</f>
        <v>42124</v>
      </c>
      <c r="C539" s="26" t="str">
        <f>IFERROR(__xludf.DUMMYFUNCTION("""COMPUTED_VALUE"""),"Ken Black")</f>
        <v>Ken Black</v>
      </c>
      <c r="D539" s="26" t="str">
        <f>IFERROR(__xludf.DUMMYFUNCTION("""COMPUTED_VALUE"""),"Corporate")</f>
        <v>Corporate</v>
      </c>
      <c r="E539" s="26" t="str">
        <f>IFERROR(__xludf.DUMMYFUNCTION("""COMPUTED_VALUE"""),"West")</f>
        <v>West</v>
      </c>
      <c r="F539" s="26">
        <f>IFERROR(__xludf.DUMMYFUNCTION("""COMPUTED_VALUE"""),34.65)</f>
        <v>34.65</v>
      </c>
      <c r="G539" s="26">
        <f>IFERROR(__xludf.DUMMYFUNCTION("""COMPUTED_VALUE"""),3.0)</f>
        <v>3</v>
      </c>
      <c r="H539" s="26">
        <f>IFERROR(__xludf.DUMMYFUNCTION("""COMPUTED_VALUE"""),9.702)</f>
        <v>9.702</v>
      </c>
    </row>
    <row r="540">
      <c r="A540" s="26" t="str">
        <f>IFERROR(__xludf.DUMMYFUNCTION("""COMPUTED_VALUE"""),"US-2015-156496")</f>
        <v>US-2015-156496</v>
      </c>
      <c r="B540" s="27">
        <f>IFERROR(__xludf.DUMMYFUNCTION("""COMPUTED_VALUE"""),42226.0)</f>
        <v>42226</v>
      </c>
      <c r="C540" s="26" t="str">
        <f>IFERROR(__xludf.DUMMYFUNCTION("""COMPUTED_VALUE"""),"William Brown")</f>
        <v>William Brown</v>
      </c>
      <c r="D540" s="26" t="str">
        <f>IFERROR(__xludf.DUMMYFUNCTION("""COMPUTED_VALUE"""),"Consumer")</f>
        <v>Consumer</v>
      </c>
      <c r="E540" s="26" t="str">
        <f>IFERROR(__xludf.DUMMYFUNCTION("""COMPUTED_VALUE"""),"West")</f>
        <v>West</v>
      </c>
      <c r="F540" s="26">
        <f>IFERROR(__xludf.DUMMYFUNCTION("""COMPUTED_VALUE"""),438.368)</f>
        <v>438.368</v>
      </c>
      <c r="G540" s="26">
        <f>IFERROR(__xludf.DUMMYFUNCTION("""COMPUTED_VALUE"""),4.0)</f>
        <v>4</v>
      </c>
      <c r="H540" s="26">
        <f>IFERROR(__xludf.DUMMYFUNCTION("""COMPUTED_VALUE"""),38.3572)</f>
        <v>38.3572</v>
      </c>
    </row>
    <row r="541">
      <c r="A541" s="26" t="str">
        <f>IFERROR(__xludf.DUMMYFUNCTION("""COMPUTED_VALUE"""),"CA-2015-153794")</f>
        <v>CA-2015-153794</v>
      </c>
      <c r="B541" s="27">
        <f>IFERROR(__xludf.DUMMYFUNCTION("""COMPUTED_VALUE"""),42258.0)</f>
        <v>42258</v>
      </c>
      <c r="C541" s="26" t="str">
        <f>IFERROR(__xludf.DUMMYFUNCTION("""COMPUTED_VALUE"""),"Sean Braxton")</f>
        <v>Sean Braxton</v>
      </c>
      <c r="D541" s="26" t="str">
        <f>IFERROR(__xludf.DUMMYFUNCTION("""COMPUTED_VALUE"""),"Corporate")</f>
        <v>Corporate</v>
      </c>
      <c r="E541" s="26" t="str">
        <f>IFERROR(__xludf.DUMMYFUNCTION("""COMPUTED_VALUE"""),"West")</f>
        <v>West</v>
      </c>
      <c r="F541" s="26">
        <f>IFERROR(__xludf.DUMMYFUNCTION("""COMPUTED_VALUE"""),265.86)</f>
        <v>265.86</v>
      </c>
      <c r="G541" s="26">
        <f>IFERROR(__xludf.DUMMYFUNCTION("""COMPUTED_VALUE"""),7.0)</f>
        <v>7</v>
      </c>
      <c r="H541" s="26">
        <f>IFERROR(__xludf.DUMMYFUNCTION("""COMPUTED_VALUE"""),79.758)</f>
        <v>79.758</v>
      </c>
    </row>
    <row r="542">
      <c r="A542" s="26" t="str">
        <f>IFERROR(__xludf.DUMMYFUNCTION("""COMPUTED_VALUE"""),"CA-2015-165162")</f>
        <v>CA-2015-165162</v>
      </c>
      <c r="B542" s="27">
        <f>IFERROR(__xludf.DUMMYFUNCTION("""COMPUTED_VALUE"""),42138.0)</f>
        <v>42138</v>
      </c>
      <c r="C542" s="26" t="str">
        <f>IFERROR(__xludf.DUMMYFUNCTION("""COMPUTED_VALUE"""),"Hunter Glantz")</f>
        <v>Hunter Glantz</v>
      </c>
      <c r="D542" s="26" t="str">
        <f>IFERROR(__xludf.DUMMYFUNCTION("""COMPUTED_VALUE"""),"Consumer")</f>
        <v>Consumer</v>
      </c>
      <c r="E542" s="26" t="str">
        <f>IFERROR(__xludf.DUMMYFUNCTION("""COMPUTED_VALUE"""),"West")</f>
        <v>West</v>
      </c>
      <c r="F542" s="26">
        <f>IFERROR(__xludf.DUMMYFUNCTION("""COMPUTED_VALUE"""),1117.92)</f>
        <v>1117.92</v>
      </c>
      <c r="G542" s="26">
        <f>IFERROR(__xludf.DUMMYFUNCTION("""COMPUTED_VALUE"""),4.0)</f>
        <v>4</v>
      </c>
      <c r="H542" s="26">
        <f>IFERROR(__xludf.DUMMYFUNCTION("""COMPUTED_VALUE"""),55.896)</f>
        <v>55.896</v>
      </c>
    </row>
    <row r="543">
      <c r="A543" s="26" t="str">
        <f>IFERROR(__xludf.DUMMYFUNCTION("""COMPUTED_VALUE"""),"CA-2015-139164")</f>
        <v>CA-2015-139164</v>
      </c>
      <c r="B543" s="27">
        <f>IFERROR(__xludf.DUMMYFUNCTION("""COMPUTED_VALUE"""),42178.0)</f>
        <v>42178</v>
      </c>
      <c r="C543" s="26" t="str">
        <f>IFERROR(__xludf.DUMMYFUNCTION("""COMPUTED_VALUE"""),"Christine Sundaresam")</f>
        <v>Christine Sundaresam</v>
      </c>
      <c r="D543" s="26" t="str">
        <f>IFERROR(__xludf.DUMMYFUNCTION("""COMPUTED_VALUE"""),"Consumer")</f>
        <v>Consumer</v>
      </c>
      <c r="E543" s="26" t="str">
        <f>IFERROR(__xludf.DUMMYFUNCTION("""COMPUTED_VALUE"""),"West")</f>
        <v>West</v>
      </c>
      <c r="F543" s="26">
        <f>IFERROR(__xludf.DUMMYFUNCTION("""COMPUTED_VALUE"""),217.584)</f>
        <v>217.584</v>
      </c>
      <c r="G543" s="26">
        <f>IFERROR(__xludf.DUMMYFUNCTION("""COMPUTED_VALUE"""),2.0)</f>
        <v>2</v>
      </c>
      <c r="H543" s="26">
        <f>IFERROR(__xludf.DUMMYFUNCTION("""COMPUTED_VALUE"""),19.0386)</f>
        <v>19.0386</v>
      </c>
    </row>
    <row r="544">
      <c r="A544" s="26" t="str">
        <f>IFERROR(__xludf.DUMMYFUNCTION("""COMPUTED_VALUE"""),"CA-2015-123141")</f>
        <v>CA-2015-123141</v>
      </c>
      <c r="B544" s="27">
        <f>IFERROR(__xludf.DUMMYFUNCTION("""COMPUTED_VALUE"""),42322.0)</f>
        <v>42322</v>
      </c>
      <c r="C544" s="26" t="str">
        <f>IFERROR(__xludf.DUMMYFUNCTION("""COMPUTED_VALUE"""),"Gary Zandusky")</f>
        <v>Gary Zandusky</v>
      </c>
      <c r="D544" s="26" t="str">
        <f>IFERROR(__xludf.DUMMYFUNCTION("""COMPUTED_VALUE"""),"Consumer")</f>
        <v>Consumer</v>
      </c>
      <c r="E544" s="26" t="str">
        <f>IFERROR(__xludf.DUMMYFUNCTION("""COMPUTED_VALUE"""),"West")</f>
        <v>West</v>
      </c>
      <c r="F544" s="26">
        <f>IFERROR(__xludf.DUMMYFUNCTION("""COMPUTED_VALUE"""),883.84)</f>
        <v>883.84</v>
      </c>
      <c r="G544" s="26">
        <f>IFERROR(__xludf.DUMMYFUNCTION("""COMPUTED_VALUE"""),4.0)</f>
        <v>4</v>
      </c>
      <c r="H544" s="26">
        <f>IFERROR(__xludf.DUMMYFUNCTION("""COMPUTED_VALUE"""),99.432)</f>
        <v>99.432</v>
      </c>
    </row>
    <row r="545">
      <c r="A545" s="26" t="str">
        <f>IFERROR(__xludf.DUMMYFUNCTION("""COMPUTED_VALUE"""),"CA-2015-162544")</f>
        <v>CA-2015-162544</v>
      </c>
      <c r="B545" s="27">
        <f>IFERROR(__xludf.DUMMYFUNCTION("""COMPUTED_VALUE"""),42354.0)</f>
        <v>42354</v>
      </c>
      <c r="C545" s="26" t="str">
        <f>IFERROR(__xludf.DUMMYFUNCTION("""COMPUTED_VALUE"""),"Sandra Glassco")</f>
        <v>Sandra Glassco</v>
      </c>
      <c r="D545" s="26" t="str">
        <f>IFERROR(__xludf.DUMMYFUNCTION("""COMPUTED_VALUE"""),"Consumer")</f>
        <v>Consumer</v>
      </c>
      <c r="E545" s="26" t="str">
        <f>IFERROR(__xludf.DUMMYFUNCTION("""COMPUTED_VALUE"""),"West")</f>
        <v>West</v>
      </c>
      <c r="F545" s="26">
        <f>IFERROR(__xludf.DUMMYFUNCTION("""COMPUTED_VALUE"""),4.98)</f>
        <v>4.98</v>
      </c>
      <c r="G545" s="26">
        <f>IFERROR(__xludf.DUMMYFUNCTION("""COMPUTED_VALUE"""),1.0)</f>
        <v>1</v>
      </c>
      <c r="H545" s="26">
        <f>IFERROR(__xludf.DUMMYFUNCTION("""COMPUTED_VALUE"""),2.3406)</f>
        <v>2.3406</v>
      </c>
    </row>
    <row r="546">
      <c r="A546" s="26" t="str">
        <f>IFERROR(__xludf.DUMMYFUNCTION("""COMPUTED_VALUE"""),"CA-2015-137113")</f>
        <v>CA-2015-137113</v>
      </c>
      <c r="B546" s="27">
        <f>IFERROR(__xludf.DUMMYFUNCTION("""COMPUTED_VALUE"""),42339.0)</f>
        <v>42339</v>
      </c>
      <c r="C546" s="26" t="str">
        <f>IFERROR(__xludf.DUMMYFUNCTION("""COMPUTED_VALUE"""),"Tamara Willingham")</f>
        <v>Tamara Willingham</v>
      </c>
      <c r="D546" s="26" t="str">
        <f>IFERROR(__xludf.DUMMYFUNCTION("""COMPUTED_VALUE"""),"Home Office")</f>
        <v>Home Office</v>
      </c>
      <c r="E546" s="26" t="str">
        <f>IFERROR(__xludf.DUMMYFUNCTION("""COMPUTED_VALUE"""),"West")</f>
        <v>West</v>
      </c>
      <c r="F546" s="26">
        <f>IFERROR(__xludf.DUMMYFUNCTION("""COMPUTED_VALUE"""),2003.92)</f>
        <v>2003.92</v>
      </c>
      <c r="G546" s="26">
        <f>IFERROR(__xludf.DUMMYFUNCTION("""COMPUTED_VALUE"""),5.0)</f>
        <v>5</v>
      </c>
      <c r="H546" s="26">
        <f>IFERROR(__xludf.DUMMYFUNCTION("""COMPUTED_VALUE"""),125.245)</f>
        <v>125.245</v>
      </c>
    </row>
    <row r="547">
      <c r="A547" s="26" t="str">
        <f>IFERROR(__xludf.DUMMYFUNCTION("""COMPUTED_VALUE"""),"CA-2015-139248")</f>
        <v>CA-2015-139248</v>
      </c>
      <c r="B547" s="27">
        <f>IFERROR(__xludf.DUMMYFUNCTION("""COMPUTED_VALUE"""),42210.0)</f>
        <v>42210</v>
      </c>
      <c r="C547" s="26" t="str">
        <f>IFERROR(__xludf.DUMMYFUNCTION("""COMPUTED_VALUE"""),"Russell D'Ascenzo")</f>
        <v>Russell D'Ascenzo</v>
      </c>
      <c r="D547" s="26" t="str">
        <f>IFERROR(__xludf.DUMMYFUNCTION("""COMPUTED_VALUE"""),"Consumer")</f>
        <v>Consumer</v>
      </c>
      <c r="E547" s="26" t="str">
        <f>IFERROR(__xludf.DUMMYFUNCTION("""COMPUTED_VALUE"""),"West")</f>
        <v>West</v>
      </c>
      <c r="F547" s="26">
        <f>IFERROR(__xludf.DUMMYFUNCTION("""COMPUTED_VALUE"""),623.96)</f>
        <v>623.96</v>
      </c>
      <c r="G547" s="26">
        <f>IFERROR(__xludf.DUMMYFUNCTION("""COMPUTED_VALUE"""),5.0)</f>
        <v>5</v>
      </c>
      <c r="H547" s="26">
        <f>IFERROR(__xludf.DUMMYFUNCTION("""COMPUTED_VALUE"""),38.9975)</f>
        <v>38.9975</v>
      </c>
    </row>
    <row r="548">
      <c r="A548" s="26" t="str">
        <f>IFERROR(__xludf.DUMMYFUNCTION("""COMPUTED_VALUE"""),"CA-2015-126466")</f>
        <v>CA-2015-126466</v>
      </c>
      <c r="B548" s="27">
        <f>IFERROR(__xludf.DUMMYFUNCTION("""COMPUTED_VALUE"""),42317.0)</f>
        <v>42317</v>
      </c>
      <c r="C548" s="26" t="str">
        <f>IFERROR(__xludf.DUMMYFUNCTION("""COMPUTED_VALUE"""),"Jesus Ocampo")</f>
        <v>Jesus Ocampo</v>
      </c>
      <c r="D548" s="26" t="str">
        <f>IFERROR(__xludf.DUMMYFUNCTION("""COMPUTED_VALUE"""),"Home Office")</f>
        <v>Home Office</v>
      </c>
      <c r="E548" s="26" t="str">
        <f>IFERROR(__xludf.DUMMYFUNCTION("""COMPUTED_VALUE"""),"West")</f>
        <v>West</v>
      </c>
      <c r="F548" s="26">
        <f>IFERROR(__xludf.DUMMYFUNCTION("""COMPUTED_VALUE"""),2.48)</f>
        <v>2.48</v>
      </c>
      <c r="G548" s="26">
        <f>IFERROR(__xludf.DUMMYFUNCTION("""COMPUTED_VALUE"""),2.0)</f>
        <v>2</v>
      </c>
      <c r="H548" s="26">
        <f>IFERROR(__xludf.DUMMYFUNCTION("""COMPUTED_VALUE"""),1.1656)</f>
        <v>1.1656</v>
      </c>
    </row>
    <row r="549">
      <c r="A549" s="26" t="str">
        <f>IFERROR(__xludf.DUMMYFUNCTION("""COMPUTED_VALUE"""),"CA-2015-129917")</f>
        <v>CA-2015-129917</v>
      </c>
      <c r="B549" s="27">
        <f>IFERROR(__xludf.DUMMYFUNCTION("""COMPUTED_VALUE"""),42279.0)</f>
        <v>42279</v>
      </c>
      <c r="C549" s="26" t="str">
        <f>IFERROR(__xludf.DUMMYFUNCTION("""COMPUTED_VALUE"""),"Henry MacAllister")</f>
        <v>Henry MacAllister</v>
      </c>
      <c r="D549" s="26" t="str">
        <f>IFERROR(__xludf.DUMMYFUNCTION("""COMPUTED_VALUE"""),"Consumer")</f>
        <v>Consumer</v>
      </c>
      <c r="E549" s="26" t="str">
        <f>IFERROR(__xludf.DUMMYFUNCTION("""COMPUTED_VALUE"""),"West")</f>
        <v>West</v>
      </c>
      <c r="F549" s="26">
        <f>IFERROR(__xludf.DUMMYFUNCTION("""COMPUTED_VALUE"""),11.808)</f>
        <v>11.808</v>
      </c>
      <c r="G549" s="26">
        <f>IFERROR(__xludf.DUMMYFUNCTION("""COMPUTED_VALUE"""),3.0)</f>
        <v>3</v>
      </c>
      <c r="H549" s="26">
        <f>IFERROR(__xludf.DUMMYFUNCTION("""COMPUTED_VALUE"""),4.1328)</f>
        <v>4.1328</v>
      </c>
    </row>
    <row r="550">
      <c r="A550" s="26" t="str">
        <f>IFERROR(__xludf.DUMMYFUNCTION("""COMPUTED_VALUE"""),"CA-2015-115420")</f>
        <v>CA-2015-115420</v>
      </c>
      <c r="B550" s="27">
        <f>IFERROR(__xludf.DUMMYFUNCTION("""COMPUTED_VALUE"""),42119.0)</f>
        <v>42119</v>
      </c>
      <c r="C550" s="26" t="str">
        <f>IFERROR(__xludf.DUMMYFUNCTION("""COMPUTED_VALUE"""),"Linda Southworth")</f>
        <v>Linda Southworth</v>
      </c>
      <c r="D550" s="26" t="str">
        <f>IFERROR(__xludf.DUMMYFUNCTION("""COMPUTED_VALUE"""),"Corporate")</f>
        <v>Corporate</v>
      </c>
      <c r="E550" s="26" t="str">
        <f>IFERROR(__xludf.DUMMYFUNCTION("""COMPUTED_VALUE"""),"West")</f>
        <v>West</v>
      </c>
      <c r="F550" s="26">
        <f>IFERROR(__xludf.DUMMYFUNCTION("""COMPUTED_VALUE"""),21.34)</f>
        <v>21.34</v>
      </c>
      <c r="G550" s="26">
        <f>IFERROR(__xludf.DUMMYFUNCTION("""COMPUTED_VALUE"""),2.0)</f>
        <v>2</v>
      </c>
      <c r="H550" s="26">
        <f>IFERROR(__xludf.DUMMYFUNCTION("""COMPUTED_VALUE"""),9.8164)</f>
        <v>9.8164</v>
      </c>
    </row>
    <row r="551">
      <c r="A551" s="26" t="str">
        <f>IFERROR(__xludf.DUMMYFUNCTION("""COMPUTED_VALUE"""),"CA-2015-167255")</f>
        <v>CA-2015-167255</v>
      </c>
      <c r="B551" s="27">
        <f>IFERROR(__xludf.DUMMYFUNCTION("""COMPUTED_VALUE"""),42274.0)</f>
        <v>42274</v>
      </c>
      <c r="C551" s="26" t="str">
        <f>IFERROR(__xludf.DUMMYFUNCTION("""COMPUTED_VALUE"""),"Rick Huthwaite")</f>
        <v>Rick Huthwaite</v>
      </c>
      <c r="D551" s="26" t="str">
        <f>IFERROR(__xludf.DUMMYFUNCTION("""COMPUTED_VALUE"""),"Home Office")</f>
        <v>Home Office</v>
      </c>
      <c r="E551" s="26" t="str">
        <f>IFERROR(__xludf.DUMMYFUNCTION("""COMPUTED_VALUE"""),"West")</f>
        <v>West</v>
      </c>
      <c r="F551" s="26">
        <f>IFERROR(__xludf.DUMMYFUNCTION("""COMPUTED_VALUE"""),15.51)</f>
        <v>15.51</v>
      </c>
      <c r="G551" s="26">
        <f>IFERROR(__xludf.DUMMYFUNCTION("""COMPUTED_VALUE"""),1.0)</f>
        <v>1</v>
      </c>
      <c r="H551" s="26">
        <f>IFERROR(__xludf.DUMMYFUNCTION("""COMPUTED_VALUE"""),4.3428)</f>
        <v>4.3428</v>
      </c>
    </row>
    <row r="552">
      <c r="A552" s="26" t="str">
        <f>IFERROR(__xludf.DUMMYFUNCTION("""COMPUTED_VALUE"""),"CA-2015-112144")</f>
        <v>CA-2015-112144</v>
      </c>
      <c r="B552" s="27">
        <f>IFERROR(__xludf.DUMMYFUNCTION("""COMPUTED_VALUE"""),42183.0)</f>
        <v>42183</v>
      </c>
      <c r="C552" s="26" t="str">
        <f>IFERROR(__xludf.DUMMYFUNCTION("""COMPUTED_VALUE"""),"Craig Yedwab")</f>
        <v>Craig Yedwab</v>
      </c>
      <c r="D552" s="26" t="str">
        <f>IFERROR(__xludf.DUMMYFUNCTION("""COMPUTED_VALUE"""),"Corporate")</f>
        <v>Corporate</v>
      </c>
      <c r="E552" s="26" t="str">
        <f>IFERROR(__xludf.DUMMYFUNCTION("""COMPUTED_VALUE"""),"West")</f>
        <v>West</v>
      </c>
      <c r="F552" s="26">
        <f>IFERROR(__xludf.DUMMYFUNCTION("""COMPUTED_VALUE"""),5.904)</f>
        <v>5.904</v>
      </c>
      <c r="G552" s="26">
        <f>IFERROR(__xludf.DUMMYFUNCTION("""COMPUTED_VALUE"""),2.0)</f>
        <v>2</v>
      </c>
      <c r="H552" s="26">
        <f>IFERROR(__xludf.DUMMYFUNCTION("""COMPUTED_VALUE"""),1.9926)</f>
        <v>1.9926</v>
      </c>
    </row>
    <row r="553">
      <c r="A553" s="26" t="str">
        <f>IFERROR(__xludf.DUMMYFUNCTION("""COMPUTED_VALUE"""),"CA-2015-166800")</f>
        <v>CA-2015-166800</v>
      </c>
      <c r="B553" s="27">
        <f>IFERROR(__xludf.DUMMYFUNCTION("""COMPUTED_VALUE"""),42327.0)</f>
        <v>42327</v>
      </c>
      <c r="C553" s="26" t="str">
        <f>IFERROR(__xludf.DUMMYFUNCTION("""COMPUTED_VALUE"""),"Aleksandra Gannaway")</f>
        <v>Aleksandra Gannaway</v>
      </c>
      <c r="D553" s="26" t="str">
        <f>IFERROR(__xludf.DUMMYFUNCTION("""COMPUTED_VALUE"""),"Corporate")</f>
        <v>Corporate</v>
      </c>
      <c r="E553" s="26" t="str">
        <f>IFERROR(__xludf.DUMMYFUNCTION("""COMPUTED_VALUE"""),"West")</f>
        <v>West</v>
      </c>
      <c r="F553" s="26">
        <f>IFERROR(__xludf.DUMMYFUNCTION("""COMPUTED_VALUE"""),31.08)</f>
        <v>31.08</v>
      </c>
      <c r="G553" s="26">
        <f>IFERROR(__xludf.DUMMYFUNCTION("""COMPUTED_VALUE"""),4.0)</f>
        <v>4</v>
      </c>
      <c r="H553" s="26">
        <f>IFERROR(__xludf.DUMMYFUNCTION("""COMPUTED_VALUE"""),8.3916)</f>
        <v>8.3916</v>
      </c>
    </row>
    <row r="554">
      <c r="A554" s="26" t="str">
        <f>IFERROR(__xludf.DUMMYFUNCTION("""COMPUTED_VALUE"""),"CA-2015-132633")</f>
        <v>CA-2015-132633</v>
      </c>
      <c r="B554" s="27">
        <f>IFERROR(__xludf.DUMMYFUNCTION("""COMPUTED_VALUE"""),42038.0)</f>
        <v>42038</v>
      </c>
      <c r="C554" s="26" t="str">
        <f>IFERROR(__xludf.DUMMYFUNCTION("""COMPUTED_VALUE"""),"Ken Heidel")</f>
        <v>Ken Heidel</v>
      </c>
      <c r="D554" s="26" t="str">
        <f>IFERROR(__xludf.DUMMYFUNCTION("""COMPUTED_VALUE"""),"Corporate")</f>
        <v>Corporate</v>
      </c>
      <c r="E554" s="26" t="str">
        <f>IFERROR(__xludf.DUMMYFUNCTION("""COMPUTED_VALUE"""),"West")</f>
        <v>West</v>
      </c>
      <c r="F554" s="26">
        <f>IFERROR(__xludf.DUMMYFUNCTION("""COMPUTED_VALUE"""),12.144)</f>
        <v>12.144</v>
      </c>
      <c r="G554" s="26">
        <f>IFERROR(__xludf.DUMMYFUNCTION("""COMPUTED_VALUE"""),3.0)</f>
        <v>3</v>
      </c>
      <c r="H554" s="26">
        <f>IFERROR(__xludf.DUMMYFUNCTION("""COMPUTED_VALUE"""),4.0986)</f>
        <v>4.0986</v>
      </c>
    </row>
    <row r="555">
      <c r="A555" s="26" t="str">
        <f>IFERROR(__xludf.DUMMYFUNCTION("""COMPUTED_VALUE"""),"CA-2015-105844")</f>
        <v>CA-2015-105844</v>
      </c>
      <c r="B555" s="27">
        <f>IFERROR(__xludf.DUMMYFUNCTION("""COMPUTED_VALUE"""),42302.0)</f>
        <v>42302</v>
      </c>
      <c r="C555" s="26" t="str">
        <f>IFERROR(__xludf.DUMMYFUNCTION("""COMPUTED_VALUE"""),"Jennifer Ferguson")</f>
        <v>Jennifer Ferguson</v>
      </c>
      <c r="D555" s="26" t="str">
        <f>IFERROR(__xludf.DUMMYFUNCTION("""COMPUTED_VALUE"""),"Consumer")</f>
        <v>Consumer</v>
      </c>
      <c r="E555" s="26" t="str">
        <f>IFERROR(__xludf.DUMMYFUNCTION("""COMPUTED_VALUE"""),"West")</f>
        <v>West</v>
      </c>
      <c r="F555" s="26">
        <f>IFERROR(__xludf.DUMMYFUNCTION("""COMPUTED_VALUE"""),79.36)</f>
        <v>79.36</v>
      </c>
      <c r="G555" s="26">
        <f>IFERROR(__xludf.DUMMYFUNCTION("""COMPUTED_VALUE"""),4.0)</f>
        <v>4</v>
      </c>
      <c r="H555" s="26">
        <f>IFERROR(__xludf.DUMMYFUNCTION("""COMPUTED_VALUE"""),23.808)</f>
        <v>23.808</v>
      </c>
    </row>
    <row r="556">
      <c r="A556" s="26" t="str">
        <f>IFERROR(__xludf.DUMMYFUNCTION("""COMPUTED_VALUE"""),"CA-2015-150770")</f>
        <v>CA-2015-150770</v>
      </c>
      <c r="B556" s="27">
        <f>IFERROR(__xludf.DUMMYFUNCTION("""COMPUTED_VALUE"""),42127.0)</f>
        <v>42127</v>
      </c>
      <c r="C556" s="26" t="str">
        <f>IFERROR(__xludf.DUMMYFUNCTION("""COMPUTED_VALUE"""),"Lena Cacioppo")</f>
        <v>Lena Cacioppo</v>
      </c>
      <c r="D556" s="26" t="str">
        <f>IFERROR(__xludf.DUMMYFUNCTION("""COMPUTED_VALUE"""),"Consumer")</f>
        <v>Consumer</v>
      </c>
      <c r="E556" s="26" t="str">
        <f>IFERROR(__xludf.DUMMYFUNCTION("""COMPUTED_VALUE"""),"West")</f>
        <v>West</v>
      </c>
      <c r="F556" s="26">
        <f>IFERROR(__xludf.DUMMYFUNCTION("""COMPUTED_VALUE"""),8.82)</f>
        <v>8.82</v>
      </c>
      <c r="G556" s="26">
        <f>IFERROR(__xludf.DUMMYFUNCTION("""COMPUTED_VALUE"""),3.0)</f>
        <v>3</v>
      </c>
      <c r="H556" s="26">
        <f>IFERROR(__xludf.DUMMYFUNCTION("""COMPUTED_VALUE"""),2.5578)</f>
        <v>2.5578</v>
      </c>
    </row>
    <row r="557">
      <c r="A557" s="26" t="str">
        <f>IFERROR(__xludf.DUMMYFUNCTION("""COMPUTED_VALUE"""),"CA-2015-158491")</f>
        <v>CA-2015-158491</v>
      </c>
      <c r="B557" s="27">
        <f>IFERROR(__xludf.DUMMYFUNCTION("""COMPUTED_VALUE"""),42159.0)</f>
        <v>42159</v>
      </c>
      <c r="C557" s="26" t="str">
        <f>IFERROR(__xludf.DUMMYFUNCTION("""COMPUTED_VALUE"""),"Becky Pak")</f>
        <v>Becky Pak</v>
      </c>
      <c r="D557" s="26" t="str">
        <f>IFERROR(__xludf.DUMMYFUNCTION("""COMPUTED_VALUE"""),"Consumer")</f>
        <v>Consumer</v>
      </c>
      <c r="E557" s="26" t="str">
        <f>IFERROR(__xludf.DUMMYFUNCTION("""COMPUTED_VALUE"""),"West")</f>
        <v>West</v>
      </c>
      <c r="F557" s="26">
        <f>IFERROR(__xludf.DUMMYFUNCTION("""COMPUTED_VALUE"""),119.98)</f>
        <v>119.98</v>
      </c>
      <c r="G557" s="26">
        <f>IFERROR(__xludf.DUMMYFUNCTION("""COMPUTED_VALUE"""),2.0)</f>
        <v>2</v>
      </c>
      <c r="H557" s="26">
        <f>IFERROR(__xludf.DUMMYFUNCTION("""COMPUTED_VALUE"""),35.994)</f>
        <v>35.994</v>
      </c>
    </row>
    <row r="558">
      <c r="A558" s="26" t="str">
        <f>IFERROR(__xludf.DUMMYFUNCTION("""COMPUTED_VALUE"""),"CA-2015-144519")</f>
        <v>CA-2015-144519</v>
      </c>
      <c r="B558" s="27">
        <f>IFERROR(__xludf.DUMMYFUNCTION("""COMPUTED_VALUE"""),42321.0)</f>
        <v>42321</v>
      </c>
      <c r="C558" s="26" t="str">
        <f>IFERROR(__xludf.DUMMYFUNCTION("""COMPUTED_VALUE"""),"Arthur Wiediger")</f>
        <v>Arthur Wiediger</v>
      </c>
      <c r="D558" s="26" t="str">
        <f>IFERROR(__xludf.DUMMYFUNCTION("""COMPUTED_VALUE"""),"Home Office")</f>
        <v>Home Office</v>
      </c>
      <c r="E558" s="26" t="str">
        <f>IFERROR(__xludf.DUMMYFUNCTION("""COMPUTED_VALUE"""),"West")</f>
        <v>West</v>
      </c>
      <c r="F558" s="26">
        <f>IFERROR(__xludf.DUMMYFUNCTION("""COMPUTED_VALUE"""),339.96)</f>
        <v>339.96</v>
      </c>
      <c r="G558" s="26">
        <f>IFERROR(__xludf.DUMMYFUNCTION("""COMPUTED_VALUE"""),5.0)</f>
        <v>5</v>
      </c>
      <c r="H558" s="26">
        <f>IFERROR(__xludf.DUMMYFUNCTION("""COMPUTED_VALUE"""),42.495)</f>
        <v>42.495</v>
      </c>
    </row>
    <row r="559">
      <c r="A559" s="26" t="str">
        <f>IFERROR(__xludf.DUMMYFUNCTION("""COMPUTED_VALUE"""),"CA-2015-148964")</f>
        <v>CA-2015-148964</v>
      </c>
      <c r="B559" s="27">
        <f>IFERROR(__xludf.DUMMYFUNCTION("""COMPUTED_VALUE"""),42150.0)</f>
        <v>42150</v>
      </c>
      <c r="C559" s="26" t="str">
        <f>IFERROR(__xludf.DUMMYFUNCTION("""COMPUTED_VALUE"""),"Ruben Dartt")</f>
        <v>Ruben Dartt</v>
      </c>
      <c r="D559" s="26" t="str">
        <f>IFERROR(__xludf.DUMMYFUNCTION("""COMPUTED_VALUE"""),"Consumer")</f>
        <v>Consumer</v>
      </c>
      <c r="E559" s="26" t="str">
        <f>IFERROR(__xludf.DUMMYFUNCTION("""COMPUTED_VALUE"""),"West")</f>
        <v>West</v>
      </c>
      <c r="F559" s="26">
        <f>IFERROR(__xludf.DUMMYFUNCTION("""COMPUTED_VALUE"""),20.24)</f>
        <v>20.24</v>
      </c>
      <c r="G559" s="26">
        <f>IFERROR(__xludf.DUMMYFUNCTION("""COMPUTED_VALUE"""),1.0)</f>
        <v>1</v>
      </c>
      <c r="H559" s="26">
        <f>IFERROR(__xludf.DUMMYFUNCTION("""COMPUTED_VALUE"""),7.8936)</f>
        <v>7.8936</v>
      </c>
    </row>
    <row r="560">
      <c r="A560" s="26" t="str">
        <f>IFERROR(__xludf.DUMMYFUNCTION("""COMPUTED_VALUE"""),"CA-2015-100146")</f>
        <v>CA-2015-100146</v>
      </c>
      <c r="B560" s="27">
        <f>IFERROR(__xludf.DUMMYFUNCTION("""COMPUTED_VALUE"""),42138.0)</f>
        <v>42138</v>
      </c>
      <c r="C560" s="26" t="str">
        <f>IFERROR(__xludf.DUMMYFUNCTION("""COMPUTED_VALUE"""),"Claudia Bergmann")</f>
        <v>Claudia Bergmann</v>
      </c>
      <c r="D560" s="26" t="str">
        <f>IFERROR(__xludf.DUMMYFUNCTION("""COMPUTED_VALUE"""),"Corporate")</f>
        <v>Corporate</v>
      </c>
      <c r="E560" s="26" t="str">
        <f>IFERROR(__xludf.DUMMYFUNCTION("""COMPUTED_VALUE"""),"West")</f>
        <v>West</v>
      </c>
      <c r="F560" s="26">
        <f>IFERROR(__xludf.DUMMYFUNCTION("""COMPUTED_VALUE"""),509.9575)</f>
        <v>509.9575</v>
      </c>
      <c r="G560" s="26">
        <f>IFERROR(__xludf.DUMMYFUNCTION("""COMPUTED_VALUE"""),5.0)</f>
        <v>5</v>
      </c>
      <c r="H560" s="26">
        <f>IFERROR(__xludf.DUMMYFUNCTION("""COMPUTED_VALUE"""),41.9965)</f>
        <v>41.9965</v>
      </c>
    </row>
    <row r="561">
      <c r="A561" s="26" t="str">
        <f>IFERROR(__xludf.DUMMYFUNCTION("""COMPUTED_VALUE"""),"CA-2015-148180")</f>
        <v>CA-2015-148180</v>
      </c>
      <c r="B561" s="27">
        <f>IFERROR(__xludf.DUMMYFUNCTION("""COMPUTED_VALUE"""),42211.0)</f>
        <v>42211</v>
      </c>
      <c r="C561" s="26" t="str">
        <f>IFERROR(__xludf.DUMMYFUNCTION("""COMPUTED_VALUE"""),"Bart Pistole")</f>
        <v>Bart Pistole</v>
      </c>
      <c r="D561" s="26" t="str">
        <f>IFERROR(__xludf.DUMMYFUNCTION("""COMPUTED_VALUE"""),"Corporate")</f>
        <v>Corporate</v>
      </c>
      <c r="E561" s="26" t="str">
        <f>IFERROR(__xludf.DUMMYFUNCTION("""COMPUTED_VALUE"""),"West")</f>
        <v>West</v>
      </c>
      <c r="F561" s="26">
        <f>IFERROR(__xludf.DUMMYFUNCTION("""COMPUTED_VALUE"""),9.144)</f>
        <v>9.144</v>
      </c>
      <c r="G561" s="26">
        <f>IFERROR(__xludf.DUMMYFUNCTION("""COMPUTED_VALUE"""),3.0)</f>
        <v>3</v>
      </c>
      <c r="H561" s="26">
        <f>IFERROR(__xludf.DUMMYFUNCTION("""COMPUTED_VALUE"""),3.0861)</f>
        <v>3.0861</v>
      </c>
    </row>
    <row r="562">
      <c r="A562" s="26" t="str">
        <f>IFERROR(__xludf.DUMMYFUNCTION("""COMPUTED_VALUE"""),"CA-2015-145457")</f>
        <v>CA-2015-145457</v>
      </c>
      <c r="B562" s="27">
        <f>IFERROR(__xludf.DUMMYFUNCTION("""COMPUTED_VALUE"""),42087.0)</f>
        <v>42087</v>
      </c>
      <c r="C562" s="26" t="str">
        <f>IFERROR(__xludf.DUMMYFUNCTION("""COMPUTED_VALUE"""),"Cathy Prescott")</f>
        <v>Cathy Prescott</v>
      </c>
      <c r="D562" s="26" t="str">
        <f>IFERROR(__xludf.DUMMYFUNCTION("""COMPUTED_VALUE"""),"Corporate")</f>
        <v>Corporate</v>
      </c>
      <c r="E562" s="26" t="str">
        <f>IFERROR(__xludf.DUMMYFUNCTION("""COMPUTED_VALUE"""),"West")</f>
        <v>West</v>
      </c>
      <c r="F562" s="26">
        <f>IFERROR(__xludf.DUMMYFUNCTION("""COMPUTED_VALUE"""),46.9)</f>
        <v>46.9</v>
      </c>
      <c r="G562" s="26">
        <f>IFERROR(__xludf.DUMMYFUNCTION("""COMPUTED_VALUE"""),5.0)</f>
        <v>5</v>
      </c>
      <c r="H562" s="26">
        <f>IFERROR(__xludf.DUMMYFUNCTION("""COMPUTED_VALUE"""),13.132)</f>
        <v>13.132</v>
      </c>
    </row>
    <row r="563">
      <c r="A563" s="26" t="str">
        <f>IFERROR(__xludf.DUMMYFUNCTION("""COMPUTED_VALUE"""),"CA-2015-120446")</f>
        <v>CA-2015-120446</v>
      </c>
      <c r="B563" s="27">
        <f>IFERROR(__xludf.DUMMYFUNCTION("""COMPUTED_VALUE"""),42324.0)</f>
        <v>42324</v>
      </c>
      <c r="C563" s="26" t="str">
        <f>IFERROR(__xludf.DUMMYFUNCTION("""COMPUTED_VALUE"""),"John Grady")</f>
        <v>John Grady</v>
      </c>
      <c r="D563" s="26" t="str">
        <f>IFERROR(__xludf.DUMMYFUNCTION("""COMPUTED_VALUE"""),"Corporate")</f>
        <v>Corporate</v>
      </c>
      <c r="E563" s="26" t="str">
        <f>IFERROR(__xludf.DUMMYFUNCTION("""COMPUTED_VALUE"""),"West")</f>
        <v>West</v>
      </c>
      <c r="F563" s="26">
        <f>IFERROR(__xludf.DUMMYFUNCTION("""COMPUTED_VALUE"""),18.9)</f>
        <v>18.9</v>
      </c>
      <c r="G563" s="26">
        <f>IFERROR(__xludf.DUMMYFUNCTION("""COMPUTED_VALUE"""),3.0)</f>
        <v>3</v>
      </c>
      <c r="H563" s="26">
        <f>IFERROR(__xludf.DUMMYFUNCTION("""COMPUTED_VALUE"""),8.694)</f>
        <v>8.694</v>
      </c>
    </row>
    <row r="564">
      <c r="A564" s="26" t="str">
        <f>IFERROR(__xludf.DUMMYFUNCTION("""COMPUTED_VALUE"""),"US-2015-136987")</f>
        <v>US-2015-136987</v>
      </c>
      <c r="B564" s="27">
        <f>IFERROR(__xludf.DUMMYFUNCTION("""COMPUTED_VALUE"""),42105.0)</f>
        <v>42105</v>
      </c>
      <c r="C564" s="26" t="str">
        <f>IFERROR(__xludf.DUMMYFUNCTION("""COMPUTED_VALUE"""),"Andy Reiter")</f>
        <v>Andy Reiter</v>
      </c>
      <c r="D564" s="26" t="str">
        <f>IFERROR(__xludf.DUMMYFUNCTION("""COMPUTED_VALUE"""),"Consumer")</f>
        <v>Consumer</v>
      </c>
      <c r="E564" s="26" t="str">
        <f>IFERROR(__xludf.DUMMYFUNCTION("""COMPUTED_VALUE"""),"West")</f>
        <v>West</v>
      </c>
      <c r="F564" s="26">
        <f>IFERROR(__xludf.DUMMYFUNCTION("""COMPUTED_VALUE"""),639.968)</f>
        <v>639.968</v>
      </c>
      <c r="G564" s="26">
        <f>IFERROR(__xludf.DUMMYFUNCTION("""COMPUTED_VALUE"""),4.0)</f>
        <v>4</v>
      </c>
      <c r="H564" s="26">
        <f>IFERROR(__xludf.DUMMYFUNCTION("""COMPUTED_VALUE"""),215.9892)</f>
        <v>215.9892</v>
      </c>
    </row>
    <row r="565">
      <c r="A565" s="26" t="str">
        <f>IFERROR(__xludf.DUMMYFUNCTION("""COMPUTED_VALUE"""),"CA-2015-138485")</f>
        <v>CA-2015-138485</v>
      </c>
      <c r="B565" s="27">
        <f>IFERROR(__xludf.DUMMYFUNCTION("""COMPUTED_VALUE"""),42062.0)</f>
        <v>42062</v>
      </c>
      <c r="C565" s="26" t="str">
        <f>IFERROR(__xludf.DUMMYFUNCTION("""COMPUTED_VALUE"""),"Nora Paige")</f>
        <v>Nora Paige</v>
      </c>
      <c r="D565" s="26" t="str">
        <f>IFERROR(__xludf.DUMMYFUNCTION("""COMPUTED_VALUE"""),"Consumer")</f>
        <v>Consumer</v>
      </c>
      <c r="E565" s="26" t="str">
        <f>IFERROR(__xludf.DUMMYFUNCTION("""COMPUTED_VALUE"""),"West")</f>
        <v>West</v>
      </c>
      <c r="F565" s="26">
        <f>IFERROR(__xludf.DUMMYFUNCTION("""COMPUTED_VALUE"""),538.92)</f>
        <v>538.92</v>
      </c>
      <c r="G565" s="26">
        <f>IFERROR(__xludf.DUMMYFUNCTION("""COMPUTED_VALUE"""),9.0)</f>
        <v>9</v>
      </c>
      <c r="H565" s="26">
        <f>IFERROR(__xludf.DUMMYFUNCTION("""COMPUTED_VALUE"""),80.838)</f>
        <v>80.838</v>
      </c>
    </row>
    <row r="566">
      <c r="A566" s="26" t="str">
        <f>IFERROR(__xludf.DUMMYFUNCTION("""COMPUTED_VALUE"""),"CA-2015-108672")</f>
        <v>CA-2015-108672</v>
      </c>
      <c r="B566" s="27">
        <f>IFERROR(__xludf.DUMMYFUNCTION("""COMPUTED_VALUE"""),42257.0)</f>
        <v>42257</v>
      </c>
      <c r="C566" s="26" t="str">
        <f>IFERROR(__xludf.DUMMYFUNCTION("""COMPUTED_VALUE"""),"Frank Atkinson")</f>
        <v>Frank Atkinson</v>
      </c>
      <c r="D566" s="26" t="str">
        <f>IFERROR(__xludf.DUMMYFUNCTION("""COMPUTED_VALUE"""),"Corporate")</f>
        <v>Corporate</v>
      </c>
      <c r="E566" s="26" t="str">
        <f>IFERROR(__xludf.DUMMYFUNCTION("""COMPUTED_VALUE"""),"West")</f>
        <v>West</v>
      </c>
      <c r="F566" s="26">
        <f>IFERROR(__xludf.DUMMYFUNCTION("""COMPUTED_VALUE"""),106.68)</f>
        <v>106.68</v>
      </c>
      <c r="G566" s="26">
        <f>IFERROR(__xludf.DUMMYFUNCTION("""COMPUTED_VALUE"""),6.0)</f>
        <v>6</v>
      </c>
      <c r="H566" s="26">
        <f>IFERROR(__xludf.DUMMYFUNCTION("""COMPUTED_VALUE"""),33.0708)</f>
        <v>33.0708</v>
      </c>
    </row>
    <row r="567">
      <c r="A567" s="26" t="str">
        <f>IFERROR(__xludf.DUMMYFUNCTION("""COMPUTED_VALUE"""),"CA-2015-129532")</f>
        <v>CA-2015-129532</v>
      </c>
      <c r="B567" s="27">
        <f>IFERROR(__xludf.DUMMYFUNCTION("""COMPUTED_VALUE"""),42346.0)</f>
        <v>42346</v>
      </c>
      <c r="C567" s="26" t="str">
        <f>IFERROR(__xludf.DUMMYFUNCTION("""COMPUTED_VALUE"""),"Yana Sorensen")</f>
        <v>Yana Sorensen</v>
      </c>
      <c r="D567" s="26" t="str">
        <f>IFERROR(__xludf.DUMMYFUNCTION("""COMPUTED_VALUE"""),"Corporate")</f>
        <v>Corporate</v>
      </c>
      <c r="E567" s="26" t="str">
        <f>IFERROR(__xludf.DUMMYFUNCTION("""COMPUTED_VALUE"""),"West")</f>
        <v>West</v>
      </c>
      <c r="F567" s="26">
        <f>IFERROR(__xludf.DUMMYFUNCTION("""COMPUTED_VALUE"""),221.96)</f>
        <v>221.96</v>
      </c>
      <c r="G567" s="26">
        <f>IFERROR(__xludf.DUMMYFUNCTION("""COMPUTED_VALUE"""),2.0)</f>
        <v>2</v>
      </c>
      <c r="H567" s="26">
        <f>IFERROR(__xludf.DUMMYFUNCTION("""COMPUTED_VALUE"""),4.4392)</f>
        <v>4.4392</v>
      </c>
    </row>
    <row r="568">
      <c r="A568" s="26" t="str">
        <f>IFERROR(__xludf.DUMMYFUNCTION("""COMPUTED_VALUE"""),"CA-2015-164567")</f>
        <v>CA-2015-164567</v>
      </c>
      <c r="B568" s="27">
        <f>IFERROR(__xludf.DUMMYFUNCTION("""COMPUTED_VALUE"""),42170.0)</f>
        <v>42170</v>
      </c>
      <c r="C568" s="26" t="str">
        <f>IFERROR(__xludf.DUMMYFUNCTION("""COMPUTED_VALUE"""),"Grace Kelly")</f>
        <v>Grace Kelly</v>
      </c>
      <c r="D568" s="26" t="str">
        <f>IFERROR(__xludf.DUMMYFUNCTION("""COMPUTED_VALUE"""),"Corporate")</f>
        <v>Corporate</v>
      </c>
      <c r="E568" s="26" t="str">
        <f>IFERROR(__xludf.DUMMYFUNCTION("""COMPUTED_VALUE"""),"West")</f>
        <v>West</v>
      </c>
      <c r="F568" s="26">
        <f>IFERROR(__xludf.DUMMYFUNCTION("""COMPUTED_VALUE"""),225.576)</f>
        <v>225.576</v>
      </c>
      <c r="G568" s="26">
        <f>IFERROR(__xludf.DUMMYFUNCTION("""COMPUTED_VALUE"""),3.0)</f>
        <v>3</v>
      </c>
      <c r="H568" s="26">
        <f>IFERROR(__xludf.DUMMYFUNCTION("""COMPUTED_VALUE"""),22.5576)</f>
        <v>22.5576</v>
      </c>
    </row>
    <row r="569">
      <c r="A569" s="26" t="str">
        <f>IFERROR(__xludf.DUMMYFUNCTION("""COMPUTED_VALUE"""),"US-2015-159499")</f>
        <v>US-2015-159499</v>
      </c>
      <c r="B569" s="27">
        <f>IFERROR(__xludf.DUMMYFUNCTION("""COMPUTED_VALUE"""),42329.0)</f>
        <v>42329</v>
      </c>
      <c r="C569" s="26" t="str">
        <f>IFERROR(__xludf.DUMMYFUNCTION("""COMPUTED_VALUE"""),"Eudokia Martin")</f>
        <v>Eudokia Martin</v>
      </c>
      <c r="D569" s="26" t="str">
        <f>IFERROR(__xludf.DUMMYFUNCTION("""COMPUTED_VALUE"""),"Corporate")</f>
        <v>Corporate</v>
      </c>
      <c r="E569" s="26" t="str">
        <f>IFERROR(__xludf.DUMMYFUNCTION("""COMPUTED_VALUE"""),"West")</f>
        <v>West</v>
      </c>
      <c r="F569" s="26">
        <f>IFERROR(__xludf.DUMMYFUNCTION("""COMPUTED_VALUE"""),325.632)</f>
        <v>325.632</v>
      </c>
      <c r="G569" s="26">
        <f>IFERROR(__xludf.DUMMYFUNCTION("""COMPUTED_VALUE"""),6.0)</f>
        <v>6</v>
      </c>
      <c r="H569" s="26">
        <f>IFERROR(__xludf.DUMMYFUNCTION("""COMPUTED_VALUE"""),28.4928)</f>
        <v>28.4928</v>
      </c>
    </row>
    <row r="570">
      <c r="A570" s="26" t="str">
        <f>IFERROR(__xludf.DUMMYFUNCTION("""COMPUTED_VALUE"""),"CA-2015-161452")</f>
        <v>CA-2015-161452</v>
      </c>
      <c r="B570" s="27">
        <f>IFERROR(__xludf.DUMMYFUNCTION("""COMPUTED_VALUE"""),42099.0)</f>
        <v>42099</v>
      </c>
      <c r="C570" s="26" t="str">
        <f>IFERROR(__xludf.DUMMYFUNCTION("""COMPUTED_VALUE"""),"Carol Adams")</f>
        <v>Carol Adams</v>
      </c>
      <c r="D570" s="26" t="str">
        <f>IFERROR(__xludf.DUMMYFUNCTION("""COMPUTED_VALUE"""),"Corporate")</f>
        <v>Corporate</v>
      </c>
      <c r="E570" s="26" t="str">
        <f>IFERROR(__xludf.DUMMYFUNCTION("""COMPUTED_VALUE"""),"West")</f>
        <v>West</v>
      </c>
      <c r="F570" s="26">
        <f>IFERROR(__xludf.DUMMYFUNCTION("""COMPUTED_VALUE"""),892.224)</f>
        <v>892.224</v>
      </c>
      <c r="G570" s="26">
        <f>IFERROR(__xludf.DUMMYFUNCTION("""COMPUTED_VALUE"""),3.0)</f>
        <v>3</v>
      </c>
      <c r="H570" s="26">
        <f>IFERROR(__xludf.DUMMYFUNCTION("""COMPUTED_VALUE"""),89.2224)</f>
        <v>89.2224</v>
      </c>
    </row>
    <row r="571">
      <c r="A571" s="26" t="str">
        <f>IFERROR(__xludf.DUMMYFUNCTION("""COMPUTED_VALUE"""),"CA-2015-107685")</f>
        <v>CA-2015-107685</v>
      </c>
      <c r="B571" s="27">
        <f>IFERROR(__xludf.DUMMYFUNCTION("""COMPUTED_VALUE"""),42338.0)</f>
        <v>42338</v>
      </c>
      <c r="C571" s="26" t="str">
        <f>IFERROR(__xludf.DUMMYFUNCTION("""COMPUTED_VALUE"""),"John Murray")</f>
        <v>John Murray</v>
      </c>
      <c r="D571" s="26" t="str">
        <f>IFERROR(__xludf.DUMMYFUNCTION("""COMPUTED_VALUE"""),"Consumer")</f>
        <v>Consumer</v>
      </c>
      <c r="E571" s="26" t="str">
        <f>IFERROR(__xludf.DUMMYFUNCTION("""COMPUTED_VALUE"""),"West")</f>
        <v>West</v>
      </c>
      <c r="F571" s="26">
        <f>IFERROR(__xludf.DUMMYFUNCTION("""COMPUTED_VALUE"""),80.96)</f>
        <v>80.96</v>
      </c>
      <c r="G571" s="26">
        <f>IFERROR(__xludf.DUMMYFUNCTION("""COMPUTED_VALUE"""),4.0)</f>
        <v>4</v>
      </c>
      <c r="H571" s="26">
        <f>IFERROR(__xludf.DUMMYFUNCTION("""COMPUTED_VALUE"""),29.1456)</f>
        <v>29.1456</v>
      </c>
    </row>
    <row r="572">
      <c r="A572" s="26" t="str">
        <f>IFERROR(__xludf.DUMMYFUNCTION("""COMPUTED_VALUE"""),"US-2015-142811")</f>
        <v>US-2015-142811</v>
      </c>
      <c r="B572" s="27">
        <f>IFERROR(__xludf.DUMMYFUNCTION("""COMPUTED_VALUE"""),42096.0)</f>
        <v>42096</v>
      </c>
      <c r="C572" s="26" t="str">
        <f>IFERROR(__xludf.DUMMYFUNCTION("""COMPUTED_VALUE"""),"John Lucas")</f>
        <v>John Lucas</v>
      </c>
      <c r="D572" s="26" t="str">
        <f>IFERROR(__xludf.DUMMYFUNCTION("""COMPUTED_VALUE"""),"Consumer")</f>
        <v>Consumer</v>
      </c>
      <c r="E572" s="26" t="str">
        <f>IFERROR(__xludf.DUMMYFUNCTION("""COMPUTED_VALUE"""),"West")</f>
        <v>West</v>
      </c>
      <c r="F572" s="26">
        <f>IFERROR(__xludf.DUMMYFUNCTION("""COMPUTED_VALUE"""),87.8)</f>
        <v>87.8</v>
      </c>
      <c r="G572" s="26">
        <f>IFERROR(__xludf.DUMMYFUNCTION("""COMPUTED_VALUE"""),5.0)</f>
        <v>5</v>
      </c>
      <c r="H572" s="26">
        <f>IFERROR(__xludf.DUMMYFUNCTION("""COMPUTED_VALUE"""),32.925)</f>
        <v>32.925</v>
      </c>
    </row>
    <row r="573">
      <c r="A573" s="26" t="str">
        <f>IFERROR(__xludf.DUMMYFUNCTION("""COMPUTED_VALUE"""),"CA-2015-149636")</f>
        <v>CA-2015-149636</v>
      </c>
      <c r="B573" s="27">
        <f>IFERROR(__xludf.DUMMYFUNCTION("""COMPUTED_VALUE"""),42010.0)</f>
        <v>42010</v>
      </c>
      <c r="C573" s="26" t="str">
        <f>IFERROR(__xludf.DUMMYFUNCTION("""COMPUTED_VALUE"""),"Stefania Perrino")</f>
        <v>Stefania Perrino</v>
      </c>
      <c r="D573" s="26" t="str">
        <f>IFERROR(__xludf.DUMMYFUNCTION("""COMPUTED_VALUE"""),"Corporate")</f>
        <v>Corporate</v>
      </c>
      <c r="E573" s="26" t="str">
        <f>IFERROR(__xludf.DUMMYFUNCTION("""COMPUTED_VALUE"""),"West")</f>
        <v>West</v>
      </c>
      <c r="F573" s="26">
        <f>IFERROR(__xludf.DUMMYFUNCTION("""COMPUTED_VALUE"""),29.6)</f>
        <v>29.6</v>
      </c>
      <c r="G573" s="26">
        <f>IFERROR(__xludf.DUMMYFUNCTION("""COMPUTED_VALUE"""),5.0)</f>
        <v>5</v>
      </c>
      <c r="H573" s="26">
        <f>IFERROR(__xludf.DUMMYFUNCTION("""COMPUTED_VALUE"""),9.25)</f>
        <v>9.25</v>
      </c>
    </row>
    <row r="574">
      <c r="A574" s="26" t="str">
        <f>IFERROR(__xludf.DUMMYFUNCTION("""COMPUTED_VALUE"""),"CA-2015-147816")</f>
        <v>CA-2015-147816</v>
      </c>
      <c r="B574" s="27">
        <f>IFERROR(__xludf.DUMMYFUNCTION("""COMPUTED_VALUE"""),42271.0)</f>
        <v>42271</v>
      </c>
      <c r="C574" s="26" t="str">
        <f>IFERROR(__xludf.DUMMYFUNCTION("""COMPUTED_VALUE"""),"Carlos Meador")</f>
        <v>Carlos Meador</v>
      </c>
      <c r="D574" s="26" t="str">
        <f>IFERROR(__xludf.DUMMYFUNCTION("""COMPUTED_VALUE"""),"Consumer")</f>
        <v>Consumer</v>
      </c>
      <c r="E574" s="26" t="str">
        <f>IFERROR(__xludf.DUMMYFUNCTION("""COMPUTED_VALUE"""),"West")</f>
        <v>West</v>
      </c>
      <c r="F574" s="26">
        <f>IFERROR(__xludf.DUMMYFUNCTION("""COMPUTED_VALUE"""),35.12)</f>
        <v>35.12</v>
      </c>
      <c r="G574" s="26">
        <f>IFERROR(__xludf.DUMMYFUNCTION("""COMPUTED_VALUE"""),2.0)</f>
        <v>2</v>
      </c>
      <c r="H574" s="26">
        <f>IFERROR(__xludf.DUMMYFUNCTION("""COMPUTED_VALUE"""),13.17)</f>
        <v>13.17</v>
      </c>
    </row>
    <row r="575">
      <c r="A575" s="26" t="str">
        <f>IFERROR(__xludf.DUMMYFUNCTION("""COMPUTED_VALUE"""),"CA-2015-169299")</f>
        <v>CA-2015-169299</v>
      </c>
      <c r="B575" s="27">
        <f>IFERROR(__xludf.DUMMYFUNCTION("""COMPUTED_VALUE"""),42240.0)</f>
        <v>42240</v>
      </c>
      <c r="C575" s="26" t="str">
        <f>IFERROR(__xludf.DUMMYFUNCTION("""COMPUTED_VALUE"""),"Denny Ordway")</f>
        <v>Denny Ordway</v>
      </c>
      <c r="D575" s="26" t="str">
        <f>IFERROR(__xludf.DUMMYFUNCTION("""COMPUTED_VALUE"""),"Consumer")</f>
        <v>Consumer</v>
      </c>
      <c r="E575" s="26" t="str">
        <f>IFERROR(__xludf.DUMMYFUNCTION("""COMPUTED_VALUE"""),"West")</f>
        <v>West</v>
      </c>
      <c r="F575" s="26">
        <f>IFERROR(__xludf.DUMMYFUNCTION("""COMPUTED_VALUE"""),7.152)</f>
        <v>7.152</v>
      </c>
      <c r="G575" s="26">
        <f>IFERROR(__xludf.DUMMYFUNCTION("""COMPUTED_VALUE"""),3.0)</f>
        <v>3</v>
      </c>
      <c r="H575" s="26">
        <f>IFERROR(__xludf.DUMMYFUNCTION("""COMPUTED_VALUE"""),0.7152)</f>
        <v>0.7152</v>
      </c>
    </row>
    <row r="576">
      <c r="A576" s="26" t="str">
        <f>IFERROR(__xludf.DUMMYFUNCTION("""COMPUTED_VALUE"""),"CA-2015-127481")</f>
        <v>CA-2015-127481</v>
      </c>
      <c r="B576" s="27">
        <f>IFERROR(__xludf.DUMMYFUNCTION("""COMPUTED_VALUE"""),42350.0)</f>
        <v>42350</v>
      </c>
      <c r="C576" s="26" t="str">
        <f>IFERROR(__xludf.DUMMYFUNCTION("""COMPUTED_VALUE"""),"Jonathan Doherty")</f>
        <v>Jonathan Doherty</v>
      </c>
      <c r="D576" s="26" t="str">
        <f>IFERROR(__xludf.DUMMYFUNCTION("""COMPUTED_VALUE"""),"Corporate")</f>
        <v>Corporate</v>
      </c>
      <c r="E576" s="26" t="str">
        <f>IFERROR(__xludf.DUMMYFUNCTION("""COMPUTED_VALUE"""),"West")</f>
        <v>West</v>
      </c>
      <c r="F576" s="26">
        <f>IFERROR(__xludf.DUMMYFUNCTION("""COMPUTED_VALUE"""),32.4)</f>
        <v>32.4</v>
      </c>
      <c r="G576" s="26">
        <f>IFERROR(__xludf.DUMMYFUNCTION("""COMPUTED_VALUE"""),5.0)</f>
        <v>5</v>
      </c>
      <c r="H576" s="26">
        <f>IFERROR(__xludf.DUMMYFUNCTION("""COMPUTED_VALUE"""),15.876)</f>
        <v>15.876</v>
      </c>
    </row>
    <row r="577">
      <c r="A577" s="26" t="str">
        <f>IFERROR(__xludf.DUMMYFUNCTION("""COMPUTED_VALUE"""),"CA-2015-137302")</f>
        <v>CA-2015-137302</v>
      </c>
      <c r="B577" s="27">
        <f>IFERROR(__xludf.DUMMYFUNCTION("""COMPUTED_VALUE"""),42120.0)</f>
        <v>42120</v>
      </c>
      <c r="C577" s="26" t="str">
        <f>IFERROR(__xludf.DUMMYFUNCTION("""COMPUTED_VALUE"""),"Bart Watters")</f>
        <v>Bart Watters</v>
      </c>
      <c r="D577" s="26" t="str">
        <f>IFERROR(__xludf.DUMMYFUNCTION("""COMPUTED_VALUE"""),"Corporate")</f>
        <v>Corporate</v>
      </c>
      <c r="E577" s="26" t="str">
        <f>IFERROR(__xludf.DUMMYFUNCTION("""COMPUTED_VALUE"""),"West")</f>
        <v>West</v>
      </c>
      <c r="F577" s="26">
        <f>IFERROR(__xludf.DUMMYFUNCTION("""COMPUTED_VALUE"""),63.936)</f>
        <v>63.936</v>
      </c>
      <c r="G577" s="26">
        <f>IFERROR(__xludf.DUMMYFUNCTION("""COMPUTED_VALUE"""),3.0)</f>
        <v>3</v>
      </c>
      <c r="H577" s="26">
        <f>IFERROR(__xludf.DUMMYFUNCTION("""COMPUTED_VALUE"""),6.3936)</f>
        <v>6.3936</v>
      </c>
    </row>
    <row r="578">
      <c r="A578" s="26" t="str">
        <f>IFERROR(__xludf.DUMMYFUNCTION("""COMPUTED_VALUE"""),"CA-2015-106257")</f>
        <v>CA-2015-106257</v>
      </c>
      <c r="B578" s="27">
        <f>IFERROR(__xludf.DUMMYFUNCTION("""COMPUTED_VALUE"""),42107.0)</f>
        <v>42107</v>
      </c>
      <c r="C578" s="26" t="str">
        <f>IFERROR(__xludf.DUMMYFUNCTION("""COMPUTED_VALUE"""),"Eugene Barchas")</f>
        <v>Eugene Barchas</v>
      </c>
      <c r="D578" s="26" t="str">
        <f>IFERROR(__xludf.DUMMYFUNCTION("""COMPUTED_VALUE"""),"Consumer")</f>
        <v>Consumer</v>
      </c>
      <c r="E578" s="26" t="str">
        <f>IFERROR(__xludf.DUMMYFUNCTION("""COMPUTED_VALUE"""),"West")</f>
        <v>West</v>
      </c>
      <c r="F578" s="26">
        <f>IFERROR(__xludf.DUMMYFUNCTION("""COMPUTED_VALUE"""),241.568)</f>
        <v>241.568</v>
      </c>
      <c r="G578" s="26">
        <f>IFERROR(__xludf.DUMMYFUNCTION("""COMPUTED_VALUE"""),2.0)</f>
        <v>2</v>
      </c>
      <c r="H578" s="26">
        <f>IFERROR(__xludf.DUMMYFUNCTION("""COMPUTED_VALUE"""),-15.098)</f>
        <v>-15.098</v>
      </c>
    </row>
    <row r="579">
      <c r="A579" s="26" t="str">
        <f>IFERROR(__xludf.DUMMYFUNCTION("""COMPUTED_VALUE"""),"CA-2015-149083")</f>
        <v>CA-2015-149083</v>
      </c>
      <c r="B579" s="27">
        <f>IFERROR(__xludf.DUMMYFUNCTION("""COMPUTED_VALUE"""),42272.0)</f>
        <v>42272</v>
      </c>
      <c r="C579" s="26" t="str">
        <f>IFERROR(__xludf.DUMMYFUNCTION("""COMPUTED_VALUE"""),"Sally Hughsby")</f>
        <v>Sally Hughsby</v>
      </c>
      <c r="D579" s="26" t="str">
        <f>IFERROR(__xludf.DUMMYFUNCTION("""COMPUTED_VALUE"""),"Corporate")</f>
        <v>Corporate</v>
      </c>
      <c r="E579" s="26" t="str">
        <f>IFERROR(__xludf.DUMMYFUNCTION("""COMPUTED_VALUE"""),"West")</f>
        <v>West</v>
      </c>
      <c r="F579" s="26">
        <f>IFERROR(__xludf.DUMMYFUNCTION("""COMPUTED_VALUE"""),307.136)</f>
        <v>307.136</v>
      </c>
      <c r="G579" s="26">
        <f>IFERROR(__xludf.DUMMYFUNCTION("""COMPUTED_VALUE"""),4.0)</f>
        <v>4</v>
      </c>
      <c r="H579" s="26">
        <f>IFERROR(__xludf.DUMMYFUNCTION("""COMPUTED_VALUE"""),-11.5176)</f>
        <v>-11.5176</v>
      </c>
    </row>
    <row r="580">
      <c r="A580" s="26" t="str">
        <f>IFERROR(__xludf.DUMMYFUNCTION("""COMPUTED_VALUE"""),"CA-2015-144890")</f>
        <v>CA-2015-144890</v>
      </c>
      <c r="B580" s="27">
        <f>IFERROR(__xludf.DUMMYFUNCTION("""COMPUTED_VALUE"""),42363.0)</f>
        <v>42363</v>
      </c>
      <c r="C580" s="26" t="str">
        <f>IFERROR(__xludf.DUMMYFUNCTION("""COMPUTED_VALUE"""),"Sean Miller")</f>
        <v>Sean Miller</v>
      </c>
      <c r="D580" s="26" t="str">
        <f>IFERROR(__xludf.DUMMYFUNCTION("""COMPUTED_VALUE"""),"Home Office")</f>
        <v>Home Office</v>
      </c>
      <c r="E580" s="26" t="str">
        <f>IFERROR(__xludf.DUMMYFUNCTION("""COMPUTED_VALUE"""),"West")</f>
        <v>West</v>
      </c>
      <c r="F580" s="26">
        <f>IFERROR(__xludf.DUMMYFUNCTION("""COMPUTED_VALUE"""),9.96)</f>
        <v>9.96</v>
      </c>
      <c r="G580" s="26">
        <f>IFERROR(__xludf.DUMMYFUNCTION("""COMPUTED_VALUE"""),2.0)</f>
        <v>2</v>
      </c>
      <c r="H580" s="26">
        <f>IFERROR(__xludf.DUMMYFUNCTION("""COMPUTED_VALUE"""),4.8804)</f>
        <v>4.8804</v>
      </c>
    </row>
    <row r="581">
      <c r="A581" s="26" t="str">
        <f>IFERROR(__xludf.DUMMYFUNCTION("""COMPUTED_VALUE"""),"CA-2015-142993")</f>
        <v>CA-2015-142993</v>
      </c>
      <c r="B581" s="27">
        <f>IFERROR(__xludf.DUMMYFUNCTION("""COMPUTED_VALUE"""),42289.0)</f>
        <v>42289</v>
      </c>
      <c r="C581" s="26" t="str">
        <f>IFERROR(__xludf.DUMMYFUNCTION("""COMPUTED_VALUE"""),"Kelly Andreada")</f>
        <v>Kelly Andreada</v>
      </c>
      <c r="D581" s="26" t="str">
        <f>IFERROR(__xludf.DUMMYFUNCTION("""COMPUTED_VALUE"""),"Consumer")</f>
        <v>Consumer</v>
      </c>
      <c r="E581" s="26" t="str">
        <f>IFERROR(__xludf.DUMMYFUNCTION("""COMPUTED_VALUE"""),"West")</f>
        <v>West</v>
      </c>
      <c r="F581" s="26">
        <f>IFERROR(__xludf.DUMMYFUNCTION("""COMPUTED_VALUE"""),17.9)</f>
        <v>17.9</v>
      </c>
      <c r="G581" s="26">
        <f>IFERROR(__xludf.DUMMYFUNCTION("""COMPUTED_VALUE"""),2.0)</f>
        <v>2</v>
      </c>
      <c r="H581" s="26">
        <f>IFERROR(__xludf.DUMMYFUNCTION("""COMPUTED_VALUE"""),3.401)</f>
        <v>3.401</v>
      </c>
    </row>
    <row r="582">
      <c r="A582" s="26" t="str">
        <f>IFERROR(__xludf.DUMMYFUNCTION("""COMPUTED_VALUE"""),"CA-2015-143364")</f>
        <v>CA-2015-143364</v>
      </c>
      <c r="B582" s="27">
        <f>IFERROR(__xludf.DUMMYFUNCTION("""COMPUTED_VALUE"""),42199.0)</f>
        <v>42199</v>
      </c>
      <c r="C582" s="26" t="str">
        <f>IFERROR(__xludf.DUMMYFUNCTION("""COMPUTED_VALUE"""),"Toby Gnade")</f>
        <v>Toby Gnade</v>
      </c>
      <c r="D582" s="26" t="str">
        <f>IFERROR(__xludf.DUMMYFUNCTION("""COMPUTED_VALUE"""),"Consumer")</f>
        <v>Consumer</v>
      </c>
      <c r="E582" s="26" t="str">
        <f>IFERROR(__xludf.DUMMYFUNCTION("""COMPUTED_VALUE"""),"West")</f>
        <v>West</v>
      </c>
      <c r="F582" s="26">
        <f>IFERROR(__xludf.DUMMYFUNCTION("""COMPUTED_VALUE"""),272.736)</f>
        <v>272.736</v>
      </c>
      <c r="G582" s="26">
        <f>IFERROR(__xludf.DUMMYFUNCTION("""COMPUTED_VALUE"""),3.0)</f>
        <v>3</v>
      </c>
      <c r="H582" s="26">
        <f>IFERROR(__xludf.DUMMYFUNCTION("""COMPUTED_VALUE"""),-64.7748)</f>
        <v>-64.7748</v>
      </c>
    </row>
    <row r="583">
      <c r="A583" s="26" t="str">
        <f>IFERROR(__xludf.DUMMYFUNCTION("""COMPUTED_VALUE"""),"CA-2015-152513")</f>
        <v>CA-2015-152513</v>
      </c>
      <c r="B583" s="27">
        <f>IFERROR(__xludf.DUMMYFUNCTION("""COMPUTED_VALUE"""),42189.0)</f>
        <v>42189</v>
      </c>
      <c r="C583" s="26" t="str">
        <f>IFERROR(__xludf.DUMMYFUNCTION("""COMPUTED_VALUE"""),"Julie Prescott")</f>
        <v>Julie Prescott</v>
      </c>
      <c r="D583" s="26" t="str">
        <f>IFERROR(__xludf.DUMMYFUNCTION("""COMPUTED_VALUE"""),"Home Office")</f>
        <v>Home Office</v>
      </c>
      <c r="E583" s="26" t="str">
        <f>IFERROR(__xludf.DUMMYFUNCTION("""COMPUTED_VALUE"""),"West")</f>
        <v>West</v>
      </c>
      <c r="F583" s="26">
        <f>IFERROR(__xludf.DUMMYFUNCTION("""COMPUTED_VALUE"""),22.848)</f>
        <v>22.848</v>
      </c>
      <c r="G583" s="26">
        <f>IFERROR(__xludf.DUMMYFUNCTION("""COMPUTED_VALUE"""),2.0)</f>
        <v>2</v>
      </c>
      <c r="H583" s="26">
        <f>IFERROR(__xludf.DUMMYFUNCTION("""COMPUTED_VALUE"""),7.4256)</f>
        <v>7.4256</v>
      </c>
    </row>
    <row r="584">
      <c r="A584" s="26" t="str">
        <f>IFERROR(__xludf.DUMMYFUNCTION("""COMPUTED_VALUE"""),"CA-2015-138219")</f>
        <v>CA-2015-138219</v>
      </c>
      <c r="B584" s="27">
        <f>IFERROR(__xludf.DUMMYFUNCTION("""COMPUTED_VALUE"""),42086.0)</f>
        <v>42086</v>
      </c>
      <c r="C584" s="26" t="str">
        <f>IFERROR(__xludf.DUMMYFUNCTION("""COMPUTED_VALUE"""),"Bart Pistole")</f>
        <v>Bart Pistole</v>
      </c>
      <c r="D584" s="26" t="str">
        <f>IFERROR(__xludf.DUMMYFUNCTION("""COMPUTED_VALUE"""),"Corporate")</f>
        <v>Corporate</v>
      </c>
      <c r="E584" s="26" t="str">
        <f>IFERROR(__xludf.DUMMYFUNCTION("""COMPUTED_VALUE"""),"West")</f>
        <v>West</v>
      </c>
      <c r="F584" s="26">
        <f>IFERROR(__xludf.DUMMYFUNCTION("""COMPUTED_VALUE"""),33.36)</f>
        <v>33.36</v>
      </c>
      <c r="G584" s="26">
        <f>IFERROR(__xludf.DUMMYFUNCTION("""COMPUTED_VALUE"""),4.0)</f>
        <v>4</v>
      </c>
      <c r="H584" s="26">
        <f>IFERROR(__xludf.DUMMYFUNCTION("""COMPUTED_VALUE"""),16.68)</f>
        <v>16.68</v>
      </c>
    </row>
    <row r="585">
      <c r="A585" s="26" t="str">
        <f>IFERROR(__xludf.DUMMYFUNCTION("""COMPUTED_VALUE"""),"CA-2015-113040")</f>
        <v>CA-2015-113040</v>
      </c>
      <c r="B585" s="27">
        <f>IFERROR(__xludf.DUMMYFUNCTION("""COMPUTED_VALUE"""),42243.0)</f>
        <v>42243</v>
      </c>
      <c r="C585" s="26" t="str">
        <f>IFERROR(__xludf.DUMMYFUNCTION("""COMPUTED_VALUE"""),"Chad Cunningham")</f>
        <v>Chad Cunningham</v>
      </c>
      <c r="D585" s="26" t="str">
        <f>IFERROR(__xludf.DUMMYFUNCTION("""COMPUTED_VALUE"""),"Home Office")</f>
        <v>Home Office</v>
      </c>
      <c r="E585" s="26" t="str">
        <f>IFERROR(__xludf.DUMMYFUNCTION("""COMPUTED_VALUE"""),"West")</f>
        <v>West</v>
      </c>
      <c r="F585" s="26">
        <f>IFERROR(__xludf.DUMMYFUNCTION("""COMPUTED_VALUE"""),5.104)</f>
        <v>5.104</v>
      </c>
      <c r="G585" s="26">
        <f>IFERROR(__xludf.DUMMYFUNCTION("""COMPUTED_VALUE"""),1.0)</f>
        <v>1</v>
      </c>
      <c r="H585" s="26">
        <f>IFERROR(__xludf.DUMMYFUNCTION("""COMPUTED_VALUE"""),1.6588)</f>
        <v>1.6588</v>
      </c>
    </row>
    <row r="586">
      <c r="A586" s="26" t="str">
        <f>IFERROR(__xludf.DUMMYFUNCTION("""COMPUTED_VALUE"""),"US-2015-165743")</f>
        <v>US-2015-165743</v>
      </c>
      <c r="B586" s="27">
        <f>IFERROR(__xludf.DUMMYFUNCTION("""COMPUTED_VALUE"""),42328.0)</f>
        <v>42328</v>
      </c>
      <c r="C586" s="26" t="str">
        <f>IFERROR(__xludf.DUMMYFUNCTION("""COMPUTED_VALUE"""),"Michelle Moray")</f>
        <v>Michelle Moray</v>
      </c>
      <c r="D586" s="26" t="str">
        <f>IFERROR(__xludf.DUMMYFUNCTION("""COMPUTED_VALUE"""),"Consumer")</f>
        <v>Consumer</v>
      </c>
      <c r="E586" s="26" t="str">
        <f>IFERROR(__xludf.DUMMYFUNCTION("""COMPUTED_VALUE"""),"West")</f>
        <v>West</v>
      </c>
      <c r="F586" s="26">
        <f>IFERROR(__xludf.DUMMYFUNCTION("""COMPUTED_VALUE"""),4.896)</f>
        <v>4.896</v>
      </c>
      <c r="G586" s="26">
        <f>IFERROR(__xludf.DUMMYFUNCTION("""COMPUTED_VALUE"""),3.0)</f>
        <v>3</v>
      </c>
      <c r="H586" s="26">
        <f>IFERROR(__xludf.DUMMYFUNCTION("""COMPUTED_VALUE"""),-3.4272)</f>
        <v>-3.4272</v>
      </c>
    </row>
    <row r="587">
      <c r="A587" s="26" t="str">
        <f>IFERROR(__xludf.DUMMYFUNCTION("""COMPUTED_VALUE"""),"CA-2015-110870")</f>
        <v>CA-2015-110870</v>
      </c>
      <c r="B587" s="27">
        <f>IFERROR(__xludf.DUMMYFUNCTION("""COMPUTED_VALUE"""),42350.0)</f>
        <v>42350</v>
      </c>
      <c r="C587" s="26" t="str">
        <f>IFERROR(__xludf.DUMMYFUNCTION("""COMPUTED_VALUE"""),"Karen Daniels")</f>
        <v>Karen Daniels</v>
      </c>
      <c r="D587" s="26" t="str">
        <f>IFERROR(__xludf.DUMMYFUNCTION("""COMPUTED_VALUE"""),"Consumer")</f>
        <v>Consumer</v>
      </c>
      <c r="E587" s="26" t="str">
        <f>IFERROR(__xludf.DUMMYFUNCTION("""COMPUTED_VALUE"""),"West")</f>
        <v>West</v>
      </c>
      <c r="F587" s="26">
        <f>IFERROR(__xludf.DUMMYFUNCTION("""COMPUTED_VALUE"""),299.94)</f>
        <v>299.94</v>
      </c>
      <c r="G587" s="26">
        <f>IFERROR(__xludf.DUMMYFUNCTION("""COMPUTED_VALUE"""),6.0)</f>
        <v>6</v>
      </c>
      <c r="H587" s="26">
        <f>IFERROR(__xludf.DUMMYFUNCTION("""COMPUTED_VALUE"""),128.9742)</f>
        <v>128.9742</v>
      </c>
    </row>
    <row r="588">
      <c r="A588" s="26" t="str">
        <f>IFERROR(__xludf.DUMMYFUNCTION("""COMPUTED_VALUE"""),"US-2015-136427")</f>
        <v>US-2015-136427</v>
      </c>
      <c r="B588" s="27">
        <f>IFERROR(__xludf.DUMMYFUNCTION("""COMPUTED_VALUE"""),42175.0)</f>
        <v>42175</v>
      </c>
      <c r="C588" s="26" t="str">
        <f>IFERROR(__xludf.DUMMYFUNCTION("""COMPUTED_VALUE"""),"Justin MacKendrick")</f>
        <v>Justin MacKendrick</v>
      </c>
      <c r="D588" s="26" t="str">
        <f>IFERROR(__xludf.DUMMYFUNCTION("""COMPUTED_VALUE"""),"Consumer")</f>
        <v>Consumer</v>
      </c>
      <c r="E588" s="26" t="str">
        <f>IFERROR(__xludf.DUMMYFUNCTION("""COMPUTED_VALUE"""),"West")</f>
        <v>West</v>
      </c>
      <c r="F588" s="26">
        <f>IFERROR(__xludf.DUMMYFUNCTION("""COMPUTED_VALUE"""),125.944)</f>
        <v>125.944</v>
      </c>
      <c r="G588" s="26">
        <f>IFERROR(__xludf.DUMMYFUNCTION("""COMPUTED_VALUE"""),7.0)</f>
        <v>7</v>
      </c>
      <c r="H588" s="26">
        <f>IFERROR(__xludf.DUMMYFUNCTION("""COMPUTED_VALUE"""),15.743)</f>
        <v>15.743</v>
      </c>
    </row>
    <row r="589">
      <c r="A589" s="26" t="str">
        <f>IFERROR(__xludf.DUMMYFUNCTION("""COMPUTED_VALUE"""),"CA-2015-121188")</f>
        <v>CA-2015-121188</v>
      </c>
      <c r="B589" s="27">
        <f>IFERROR(__xludf.DUMMYFUNCTION("""COMPUTED_VALUE"""),42244.0)</f>
        <v>42244</v>
      </c>
      <c r="C589" s="26" t="str">
        <f>IFERROR(__xludf.DUMMYFUNCTION("""COMPUTED_VALUE"""),"Cassandra Brandow")</f>
        <v>Cassandra Brandow</v>
      </c>
      <c r="D589" s="26" t="str">
        <f>IFERROR(__xludf.DUMMYFUNCTION("""COMPUTED_VALUE"""),"Consumer")</f>
        <v>Consumer</v>
      </c>
      <c r="E589" s="26" t="str">
        <f>IFERROR(__xludf.DUMMYFUNCTION("""COMPUTED_VALUE"""),"West")</f>
        <v>West</v>
      </c>
      <c r="F589" s="26">
        <f>IFERROR(__xludf.DUMMYFUNCTION("""COMPUTED_VALUE"""),892.35)</f>
        <v>892.35</v>
      </c>
      <c r="G589" s="26">
        <f>IFERROR(__xludf.DUMMYFUNCTION("""COMPUTED_VALUE"""),5.0)</f>
        <v>5</v>
      </c>
      <c r="H589" s="26">
        <f>IFERROR(__xludf.DUMMYFUNCTION("""COMPUTED_VALUE"""),267.705)</f>
        <v>267.705</v>
      </c>
    </row>
    <row r="590">
      <c r="A590" s="26" t="str">
        <f>IFERROR(__xludf.DUMMYFUNCTION("""COMPUTED_VALUE"""),"US-2015-160563")</f>
        <v>US-2015-160563</v>
      </c>
      <c r="B590" s="27">
        <f>IFERROR(__xludf.DUMMYFUNCTION("""COMPUTED_VALUE"""),42297.0)</f>
        <v>42297</v>
      </c>
      <c r="C590" s="26" t="str">
        <f>IFERROR(__xludf.DUMMYFUNCTION("""COMPUTED_VALUE"""),"Noel Staavos")</f>
        <v>Noel Staavos</v>
      </c>
      <c r="D590" s="26" t="str">
        <f>IFERROR(__xludf.DUMMYFUNCTION("""COMPUTED_VALUE"""),"Corporate")</f>
        <v>Corporate</v>
      </c>
      <c r="E590" s="26" t="str">
        <f>IFERROR(__xludf.DUMMYFUNCTION("""COMPUTED_VALUE"""),"West")</f>
        <v>West</v>
      </c>
      <c r="F590" s="26">
        <f>IFERROR(__xludf.DUMMYFUNCTION("""COMPUTED_VALUE"""),239.97)</f>
        <v>239.97</v>
      </c>
      <c r="G590" s="26">
        <f>IFERROR(__xludf.DUMMYFUNCTION("""COMPUTED_VALUE"""),3.0)</f>
        <v>3</v>
      </c>
      <c r="H590" s="26">
        <f>IFERROR(__xludf.DUMMYFUNCTION("""COMPUTED_VALUE"""),86.3892)</f>
        <v>86.3892</v>
      </c>
    </row>
    <row r="591">
      <c r="A591" s="26" t="str">
        <f>IFERROR(__xludf.DUMMYFUNCTION("""COMPUTED_VALUE"""),"CA-2015-150714")</f>
        <v>CA-2015-150714</v>
      </c>
      <c r="B591" s="27">
        <f>IFERROR(__xludf.DUMMYFUNCTION("""COMPUTED_VALUE"""),42303.0)</f>
        <v>42303</v>
      </c>
      <c r="C591" s="26" t="str">
        <f>IFERROR(__xludf.DUMMYFUNCTION("""COMPUTED_VALUE"""),"Kristen Hastings")</f>
        <v>Kristen Hastings</v>
      </c>
      <c r="D591" s="26" t="str">
        <f>IFERROR(__xludf.DUMMYFUNCTION("""COMPUTED_VALUE"""),"Corporate")</f>
        <v>Corporate</v>
      </c>
      <c r="E591" s="26" t="str">
        <f>IFERROR(__xludf.DUMMYFUNCTION("""COMPUTED_VALUE"""),"West")</f>
        <v>West</v>
      </c>
      <c r="F591" s="26">
        <f>IFERROR(__xludf.DUMMYFUNCTION("""COMPUTED_VALUE"""),146.544)</f>
        <v>146.544</v>
      </c>
      <c r="G591" s="26">
        <f>IFERROR(__xludf.DUMMYFUNCTION("""COMPUTED_VALUE"""),6.0)</f>
        <v>6</v>
      </c>
      <c r="H591" s="26">
        <f>IFERROR(__xludf.DUMMYFUNCTION("""COMPUTED_VALUE"""),47.6268)</f>
        <v>47.6268</v>
      </c>
    </row>
    <row r="592">
      <c r="A592" s="26" t="str">
        <f>IFERROR(__xludf.DUMMYFUNCTION("""COMPUTED_VALUE"""),"CA-2015-107020")</f>
        <v>CA-2015-107020</v>
      </c>
      <c r="B592" s="27">
        <f>IFERROR(__xludf.DUMMYFUNCTION("""COMPUTED_VALUE"""),42195.0)</f>
        <v>42195</v>
      </c>
      <c r="C592" s="26" t="str">
        <f>IFERROR(__xludf.DUMMYFUNCTION("""COMPUTED_VALUE"""),"Mike Vittorini")</f>
        <v>Mike Vittorini</v>
      </c>
      <c r="D592" s="26" t="str">
        <f>IFERROR(__xludf.DUMMYFUNCTION("""COMPUTED_VALUE"""),"Consumer")</f>
        <v>Consumer</v>
      </c>
      <c r="E592" s="26" t="str">
        <f>IFERROR(__xludf.DUMMYFUNCTION("""COMPUTED_VALUE"""),"West")</f>
        <v>West</v>
      </c>
      <c r="F592" s="26">
        <f>IFERROR(__xludf.DUMMYFUNCTION("""COMPUTED_VALUE"""),39.92)</f>
        <v>39.92</v>
      </c>
      <c r="G592" s="26">
        <f>IFERROR(__xludf.DUMMYFUNCTION("""COMPUTED_VALUE"""),2.0)</f>
        <v>2</v>
      </c>
      <c r="H592" s="26">
        <f>IFERROR(__xludf.DUMMYFUNCTION("""COMPUTED_VALUE"""),12.974)</f>
        <v>12.974</v>
      </c>
    </row>
    <row r="593">
      <c r="A593" s="26" t="str">
        <f>IFERROR(__xludf.DUMMYFUNCTION("""COMPUTED_VALUE"""),"CA-2015-127502")</f>
        <v>CA-2015-127502</v>
      </c>
      <c r="B593" s="27">
        <f>IFERROR(__xludf.DUMMYFUNCTION("""COMPUTED_VALUE"""),42348.0)</f>
        <v>42348</v>
      </c>
      <c r="C593" s="26" t="str">
        <f>IFERROR(__xludf.DUMMYFUNCTION("""COMPUTED_VALUE"""),"Meg Tillman")</f>
        <v>Meg Tillman</v>
      </c>
      <c r="D593" s="26" t="str">
        <f>IFERROR(__xludf.DUMMYFUNCTION("""COMPUTED_VALUE"""),"Consumer")</f>
        <v>Consumer</v>
      </c>
      <c r="E593" s="26" t="str">
        <f>IFERROR(__xludf.DUMMYFUNCTION("""COMPUTED_VALUE"""),"West")</f>
        <v>West</v>
      </c>
      <c r="F593" s="26">
        <f>IFERROR(__xludf.DUMMYFUNCTION("""COMPUTED_VALUE"""),5.76)</f>
        <v>5.76</v>
      </c>
      <c r="G593" s="26">
        <f>IFERROR(__xludf.DUMMYFUNCTION("""COMPUTED_VALUE"""),2.0)</f>
        <v>2</v>
      </c>
      <c r="H593" s="26">
        <f>IFERROR(__xludf.DUMMYFUNCTION("""COMPUTED_VALUE"""),2.8224)</f>
        <v>2.8224</v>
      </c>
    </row>
    <row r="594">
      <c r="A594" s="26" t="str">
        <f>IFERROR(__xludf.DUMMYFUNCTION("""COMPUTED_VALUE"""),"CA-2015-149846")</f>
        <v>CA-2015-149846</v>
      </c>
      <c r="B594" s="27">
        <f>IFERROR(__xludf.DUMMYFUNCTION("""COMPUTED_VALUE"""),42146.0)</f>
        <v>42146</v>
      </c>
      <c r="C594" s="26" t="str">
        <f>IFERROR(__xludf.DUMMYFUNCTION("""COMPUTED_VALUE"""),"Sarah Brown")</f>
        <v>Sarah Brown</v>
      </c>
      <c r="D594" s="26" t="str">
        <f>IFERROR(__xludf.DUMMYFUNCTION("""COMPUTED_VALUE"""),"Consumer")</f>
        <v>Consumer</v>
      </c>
      <c r="E594" s="26" t="str">
        <f>IFERROR(__xludf.DUMMYFUNCTION("""COMPUTED_VALUE"""),"West")</f>
        <v>West</v>
      </c>
      <c r="F594" s="26">
        <f>IFERROR(__xludf.DUMMYFUNCTION("""COMPUTED_VALUE"""),8.26)</f>
        <v>8.26</v>
      </c>
      <c r="G594" s="26">
        <f>IFERROR(__xludf.DUMMYFUNCTION("""COMPUTED_VALUE"""),2.0)</f>
        <v>2</v>
      </c>
      <c r="H594" s="26">
        <f>IFERROR(__xludf.DUMMYFUNCTION("""COMPUTED_VALUE"""),3.7996)</f>
        <v>3.7996</v>
      </c>
    </row>
    <row r="595">
      <c r="A595" s="26" t="str">
        <f>IFERROR(__xludf.DUMMYFUNCTION("""COMPUTED_VALUE"""),"CA-2015-121776")</f>
        <v>CA-2015-121776</v>
      </c>
      <c r="B595" s="27">
        <f>IFERROR(__xludf.DUMMYFUNCTION("""COMPUTED_VALUE"""),42051.0)</f>
        <v>42051</v>
      </c>
      <c r="C595" s="26" t="str">
        <f>IFERROR(__xludf.DUMMYFUNCTION("""COMPUTED_VALUE"""),"Rob Dowd")</f>
        <v>Rob Dowd</v>
      </c>
      <c r="D595" s="26" t="str">
        <f>IFERROR(__xludf.DUMMYFUNCTION("""COMPUTED_VALUE"""),"Consumer")</f>
        <v>Consumer</v>
      </c>
      <c r="E595" s="26" t="str">
        <f>IFERROR(__xludf.DUMMYFUNCTION("""COMPUTED_VALUE"""),"West")</f>
        <v>West</v>
      </c>
      <c r="F595" s="26">
        <f>IFERROR(__xludf.DUMMYFUNCTION("""COMPUTED_VALUE"""),36.84)</f>
        <v>36.84</v>
      </c>
      <c r="G595" s="26">
        <f>IFERROR(__xludf.DUMMYFUNCTION("""COMPUTED_VALUE"""),3.0)</f>
        <v>3</v>
      </c>
      <c r="H595" s="26">
        <f>IFERROR(__xludf.DUMMYFUNCTION("""COMPUTED_VALUE"""),17.3148)</f>
        <v>17.3148</v>
      </c>
    </row>
    <row r="596">
      <c r="A596" s="26" t="str">
        <f>IFERROR(__xludf.DUMMYFUNCTION("""COMPUTED_VALUE"""),"CA-2015-168207")</f>
        <v>CA-2015-168207</v>
      </c>
      <c r="B596" s="27">
        <f>IFERROR(__xludf.DUMMYFUNCTION("""COMPUTED_VALUE"""),42310.0)</f>
        <v>42310</v>
      </c>
      <c r="C596" s="26" t="str">
        <f>IFERROR(__xludf.DUMMYFUNCTION("""COMPUTED_VALUE"""),"Liz Thompson")</f>
        <v>Liz Thompson</v>
      </c>
      <c r="D596" s="26" t="str">
        <f>IFERROR(__xludf.DUMMYFUNCTION("""COMPUTED_VALUE"""),"Consumer")</f>
        <v>Consumer</v>
      </c>
      <c r="E596" s="26" t="str">
        <f>IFERROR(__xludf.DUMMYFUNCTION("""COMPUTED_VALUE"""),"West")</f>
        <v>West</v>
      </c>
      <c r="F596" s="26">
        <f>IFERROR(__xludf.DUMMYFUNCTION("""COMPUTED_VALUE"""),96.96)</f>
        <v>96.96</v>
      </c>
      <c r="G596" s="26">
        <f>IFERROR(__xludf.DUMMYFUNCTION("""COMPUTED_VALUE"""),6.0)</f>
        <v>6</v>
      </c>
      <c r="H596" s="26">
        <f>IFERROR(__xludf.DUMMYFUNCTION("""COMPUTED_VALUE"""),33.936)</f>
        <v>33.936</v>
      </c>
    </row>
    <row r="597">
      <c r="A597" s="26" t="str">
        <f>IFERROR(__xludf.DUMMYFUNCTION("""COMPUTED_VALUE"""),"CA-2015-112767")</f>
        <v>CA-2015-112767</v>
      </c>
      <c r="B597" s="27">
        <f>IFERROR(__xludf.DUMMYFUNCTION("""COMPUTED_VALUE"""),42218.0)</f>
        <v>42218</v>
      </c>
      <c r="C597" s="26" t="str">
        <f>IFERROR(__xludf.DUMMYFUNCTION("""COMPUTED_VALUE"""),"Darren Koutras")</f>
        <v>Darren Koutras</v>
      </c>
      <c r="D597" s="26" t="str">
        <f>IFERROR(__xludf.DUMMYFUNCTION("""COMPUTED_VALUE"""),"Consumer")</f>
        <v>Consumer</v>
      </c>
      <c r="E597" s="26" t="str">
        <f>IFERROR(__xludf.DUMMYFUNCTION("""COMPUTED_VALUE"""),"West")</f>
        <v>West</v>
      </c>
      <c r="F597" s="26">
        <f>IFERROR(__xludf.DUMMYFUNCTION("""COMPUTED_VALUE"""),277.5)</f>
        <v>277.5</v>
      </c>
      <c r="G597" s="26">
        <f>IFERROR(__xludf.DUMMYFUNCTION("""COMPUTED_VALUE"""),4.0)</f>
        <v>4</v>
      </c>
      <c r="H597" s="26">
        <f>IFERROR(__xludf.DUMMYFUNCTION("""COMPUTED_VALUE"""),-188.7)</f>
        <v>-188.7</v>
      </c>
    </row>
    <row r="598">
      <c r="A598" s="26" t="str">
        <f>IFERROR(__xludf.DUMMYFUNCTION("""COMPUTED_VALUE"""),"CA-2015-136700")</f>
        <v>CA-2015-136700</v>
      </c>
      <c r="B598" s="27">
        <f>IFERROR(__xludf.DUMMYFUNCTION("""COMPUTED_VALUE"""),42344.0)</f>
        <v>42344</v>
      </c>
      <c r="C598" s="26" t="str">
        <f>IFERROR(__xludf.DUMMYFUNCTION("""COMPUTED_VALUE"""),"David Bremer")</f>
        <v>David Bremer</v>
      </c>
      <c r="D598" s="26" t="str">
        <f>IFERROR(__xludf.DUMMYFUNCTION("""COMPUTED_VALUE"""),"Corporate")</f>
        <v>Corporate</v>
      </c>
      <c r="E598" s="26" t="str">
        <f>IFERROR(__xludf.DUMMYFUNCTION("""COMPUTED_VALUE"""),"West")</f>
        <v>West</v>
      </c>
      <c r="F598" s="26">
        <f>IFERROR(__xludf.DUMMYFUNCTION("""COMPUTED_VALUE"""),8.96)</f>
        <v>8.96</v>
      </c>
      <c r="G598" s="26">
        <f>IFERROR(__xludf.DUMMYFUNCTION("""COMPUTED_VALUE"""),2.0)</f>
        <v>2</v>
      </c>
      <c r="H598" s="26">
        <f>IFERROR(__xludf.DUMMYFUNCTION("""COMPUTED_VALUE"""),4.3904)</f>
        <v>4.3904</v>
      </c>
    </row>
    <row r="599">
      <c r="A599" s="26" t="str">
        <f>IFERROR(__xludf.DUMMYFUNCTION("""COMPUTED_VALUE"""),"CA-2015-158701")</f>
        <v>CA-2015-158701</v>
      </c>
      <c r="B599" s="27">
        <f>IFERROR(__xludf.DUMMYFUNCTION("""COMPUTED_VALUE"""),42009.0)</f>
        <v>42009</v>
      </c>
      <c r="C599" s="26" t="str">
        <f>IFERROR(__xludf.DUMMYFUNCTION("""COMPUTED_VALUE"""),"James Lanier")</f>
        <v>James Lanier</v>
      </c>
      <c r="D599" s="26" t="str">
        <f>IFERROR(__xludf.DUMMYFUNCTION("""COMPUTED_VALUE"""),"Home Office")</f>
        <v>Home Office</v>
      </c>
      <c r="E599" s="26" t="str">
        <f>IFERROR(__xludf.DUMMYFUNCTION("""COMPUTED_VALUE"""),"West")</f>
        <v>West</v>
      </c>
      <c r="F599" s="26">
        <f>IFERROR(__xludf.DUMMYFUNCTION("""COMPUTED_VALUE"""),87.36)</f>
        <v>87.36</v>
      </c>
      <c r="G599" s="26">
        <f>IFERROR(__xludf.DUMMYFUNCTION("""COMPUTED_VALUE"""),6.0)</f>
        <v>6</v>
      </c>
      <c r="H599" s="26">
        <f>IFERROR(__xludf.DUMMYFUNCTION("""COMPUTED_VALUE"""),23.5872)</f>
        <v>23.5872</v>
      </c>
    </row>
    <row r="600">
      <c r="A600" s="26" t="str">
        <f>IFERROR(__xludf.DUMMYFUNCTION("""COMPUTED_VALUE"""),"CA-2015-133837")</f>
        <v>CA-2015-133837</v>
      </c>
      <c r="B600" s="27">
        <f>IFERROR(__xludf.DUMMYFUNCTION("""COMPUTED_VALUE"""),42107.0)</f>
        <v>42107</v>
      </c>
      <c r="C600" s="26" t="str">
        <f>IFERROR(__xludf.DUMMYFUNCTION("""COMPUTED_VALUE"""),"Thea Hendricks")</f>
        <v>Thea Hendricks</v>
      </c>
      <c r="D600" s="26" t="str">
        <f>IFERROR(__xludf.DUMMYFUNCTION("""COMPUTED_VALUE"""),"Consumer")</f>
        <v>Consumer</v>
      </c>
      <c r="E600" s="26" t="str">
        <f>IFERROR(__xludf.DUMMYFUNCTION("""COMPUTED_VALUE"""),"West")</f>
        <v>West</v>
      </c>
      <c r="F600" s="26">
        <f>IFERROR(__xludf.DUMMYFUNCTION("""COMPUTED_VALUE"""),10.744)</f>
        <v>10.744</v>
      </c>
      <c r="G600" s="26">
        <f>IFERROR(__xludf.DUMMYFUNCTION("""COMPUTED_VALUE"""),1.0)</f>
        <v>1</v>
      </c>
      <c r="H600" s="26">
        <f>IFERROR(__xludf.DUMMYFUNCTION("""COMPUTED_VALUE"""),0.8058)</f>
        <v>0.8058</v>
      </c>
    </row>
    <row r="601">
      <c r="A601" s="26" t="str">
        <f>IFERROR(__xludf.DUMMYFUNCTION("""COMPUTED_VALUE"""),"CA-2015-134082")</f>
        <v>CA-2015-134082</v>
      </c>
      <c r="B601" s="27">
        <f>IFERROR(__xludf.DUMMYFUNCTION("""COMPUTED_VALUE"""),42349.0)</f>
        <v>42349</v>
      </c>
      <c r="C601" s="26" t="str">
        <f>IFERROR(__xludf.DUMMYFUNCTION("""COMPUTED_VALUE"""),"Jim Kriz")</f>
        <v>Jim Kriz</v>
      </c>
      <c r="D601" s="26" t="str">
        <f>IFERROR(__xludf.DUMMYFUNCTION("""COMPUTED_VALUE"""),"Home Office")</f>
        <v>Home Office</v>
      </c>
      <c r="E601" s="26" t="str">
        <f>IFERROR(__xludf.DUMMYFUNCTION("""COMPUTED_VALUE"""),"West")</f>
        <v>West</v>
      </c>
      <c r="F601" s="26">
        <f>IFERROR(__xludf.DUMMYFUNCTION("""COMPUTED_VALUE"""),110.528)</f>
        <v>110.528</v>
      </c>
      <c r="G601" s="26">
        <f>IFERROR(__xludf.DUMMYFUNCTION("""COMPUTED_VALUE"""),4.0)</f>
        <v>4</v>
      </c>
      <c r="H601" s="26">
        <f>IFERROR(__xludf.DUMMYFUNCTION("""COMPUTED_VALUE"""),38.6848)</f>
        <v>38.6848</v>
      </c>
    </row>
    <row r="602">
      <c r="A602" s="26" t="str">
        <f>IFERROR(__xludf.DUMMYFUNCTION("""COMPUTED_VALUE"""),"CA-2015-128356")</f>
        <v>CA-2015-128356</v>
      </c>
      <c r="B602" s="27">
        <f>IFERROR(__xludf.DUMMYFUNCTION("""COMPUTED_VALUE"""),42279.0)</f>
        <v>42279</v>
      </c>
      <c r="C602" s="26" t="str">
        <f>IFERROR(__xludf.DUMMYFUNCTION("""COMPUTED_VALUE"""),"Resi Pölking")</f>
        <v>Resi Pölking</v>
      </c>
      <c r="D602" s="26" t="str">
        <f>IFERROR(__xludf.DUMMYFUNCTION("""COMPUTED_VALUE"""),"Consumer")</f>
        <v>Consumer</v>
      </c>
      <c r="E602" s="26" t="str">
        <f>IFERROR(__xludf.DUMMYFUNCTION("""COMPUTED_VALUE"""),"West")</f>
        <v>West</v>
      </c>
      <c r="F602" s="26">
        <f>IFERROR(__xludf.DUMMYFUNCTION("""COMPUTED_VALUE"""),10.944)</f>
        <v>10.944</v>
      </c>
      <c r="G602" s="26">
        <f>IFERROR(__xludf.DUMMYFUNCTION("""COMPUTED_VALUE"""),2.0)</f>
        <v>2</v>
      </c>
      <c r="H602" s="26">
        <f>IFERROR(__xludf.DUMMYFUNCTION("""COMPUTED_VALUE"""),0.9576)</f>
        <v>0.9576</v>
      </c>
    </row>
    <row r="603">
      <c r="A603" s="26" t="str">
        <f>IFERROR(__xludf.DUMMYFUNCTION("""COMPUTED_VALUE"""),"CA-2015-151470")</f>
        <v>CA-2015-151470</v>
      </c>
      <c r="B603" s="27">
        <f>IFERROR(__xludf.DUMMYFUNCTION("""COMPUTED_VALUE"""),42267.0)</f>
        <v>42267</v>
      </c>
      <c r="C603" s="26" t="str">
        <f>IFERROR(__xludf.DUMMYFUNCTION("""COMPUTED_VALUE"""),"Anne McFarland")</f>
        <v>Anne McFarland</v>
      </c>
      <c r="D603" s="26" t="str">
        <f>IFERROR(__xludf.DUMMYFUNCTION("""COMPUTED_VALUE"""),"Consumer")</f>
        <v>Consumer</v>
      </c>
      <c r="E603" s="26" t="str">
        <f>IFERROR(__xludf.DUMMYFUNCTION("""COMPUTED_VALUE"""),"West")</f>
        <v>West</v>
      </c>
      <c r="F603" s="26">
        <f>IFERROR(__xludf.DUMMYFUNCTION("""COMPUTED_VALUE"""),45.584)</f>
        <v>45.584</v>
      </c>
      <c r="G603" s="26">
        <f>IFERROR(__xludf.DUMMYFUNCTION("""COMPUTED_VALUE"""),11.0)</f>
        <v>11</v>
      </c>
      <c r="H603" s="26">
        <f>IFERROR(__xludf.DUMMYFUNCTION("""COMPUTED_VALUE"""),16.5242)</f>
        <v>16.5242</v>
      </c>
    </row>
    <row r="604">
      <c r="A604" s="26" t="str">
        <f>IFERROR(__xludf.DUMMYFUNCTION("""COMPUTED_VALUE"""),"CA-2015-144043")</f>
        <v>CA-2015-144043</v>
      </c>
      <c r="B604" s="27">
        <f>IFERROR(__xludf.DUMMYFUNCTION("""COMPUTED_VALUE"""),42134.0)</f>
        <v>42134</v>
      </c>
      <c r="C604" s="26" t="str">
        <f>IFERROR(__xludf.DUMMYFUNCTION("""COMPUTED_VALUE"""),"Alan Barnes")</f>
        <v>Alan Barnes</v>
      </c>
      <c r="D604" s="26" t="str">
        <f>IFERROR(__xludf.DUMMYFUNCTION("""COMPUTED_VALUE"""),"Consumer")</f>
        <v>Consumer</v>
      </c>
      <c r="E604" s="26" t="str">
        <f>IFERROR(__xludf.DUMMYFUNCTION("""COMPUTED_VALUE"""),"West")</f>
        <v>West</v>
      </c>
      <c r="F604" s="26">
        <f>IFERROR(__xludf.DUMMYFUNCTION("""COMPUTED_VALUE"""),46.688)</f>
        <v>46.688</v>
      </c>
      <c r="G604" s="26">
        <f>IFERROR(__xludf.DUMMYFUNCTION("""COMPUTED_VALUE"""),4.0)</f>
        <v>4</v>
      </c>
      <c r="H604" s="26">
        <f>IFERROR(__xludf.DUMMYFUNCTION("""COMPUTED_VALUE"""),-2.918)</f>
        <v>-2.918</v>
      </c>
    </row>
    <row r="605">
      <c r="A605" s="26" t="str">
        <f>IFERROR(__xludf.DUMMYFUNCTION("""COMPUTED_VALUE"""),"CA-2015-102316")</f>
        <v>CA-2015-102316</v>
      </c>
      <c r="B605" s="27">
        <f>IFERROR(__xludf.DUMMYFUNCTION("""COMPUTED_VALUE"""),42064.0)</f>
        <v>42064</v>
      </c>
      <c r="C605" s="26" t="str">
        <f>IFERROR(__xludf.DUMMYFUNCTION("""COMPUTED_VALUE"""),"Dave Hallsten")</f>
        <v>Dave Hallsten</v>
      </c>
      <c r="D605" s="26" t="str">
        <f>IFERROR(__xludf.DUMMYFUNCTION("""COMPUTED_VALUE"""),"Corporate")</f>
        <v>Corporate</v>
      </c>
      <c r="E605" s="26" t="str">
        <f>IFERROR(__xludf.DUMMYFUNCTION("""COMPUTED_VALUE"""),"West")</f>
        <v>West</v>
      </c>
      <c r="F605" s="26">
        <f>IFERROR(__xludf.DUMMYFUNCTION("""COMPUTED_VALUE"""),15.984)</f>
        <v>15.984</v>
      </c>
      <c r="G605" s="26">
        <f>IFERROR(__xludf.DUMMYFUNCTION("""COMPUTED_VALUE"""),2.0)</f>
        <v>2</v>
      </c>
      <c r="H605" s="26">
        <f>IFERROR(__xludf.DUMMYFUNCTION("""COMPUTED_VALUE"""),1.1988)</f>
        <v>1.1988</v>
      </c>
    </row>
    <row r="606">
      <c r="A606" s="26" t="str">
        <f>IFERROR(__xludf.DUMMYFUNCTION("""COMPUTED_VALUE"""),"CA-2015-149566")</f>
        <v>CA-2015-149566</v>
      </c>
      <c r="B606" s="27">
        <f>IFERROR(__xludf.DUMMYFUNCTION("""COMPUTED_VALUE"""),42343.0)</f>
        <v>42343</v>
      </c>
      <c r="C606" s="26" t="str">
        <f>IFERROR(__xludf.DUMMYFUNCTION("""COMPUTED_VALUE"""),"George Bell")</f>
        <v>George Bell</v>
      </c>
      <c r="D606" s="26" t="str">
        <f>IFERROR(__xludf.DUMMYFUNCTION("""COMPUTED_VALUE"""),"Corporate")</f>
        <v>Corporate</v>
      </c>
      <c r="E606" s="26" t="str">
        <f>IFERROR(__xludf.DUMMYFUNCTION("""COMPUTED_VALUE"""),"West")</f>
        <v>West</v>
      </c>
      <c r="F606" s="26">
        <f>IFERROR(__xludf.DUMMYFUNCTION("""COMPUTED_VALUE"""),39.0)</f>
        <v>39</v>
      </c>
      <c r="G606" s="26">
        <f>IFERROR(__xludf.DUMMYFUNCTION("""COMPUTED_VALUE"""),3.0)</f>
        <v>3</v>
      </c>
      <c r="H606" s="26">
        <f>IFERROR(__xludf.DUMMYFUNCTION("""COMPUTED_VALUE"""),17.55)</f>
        <v>17.55</v>
      </c>
    </row>
    <row r="607">
      <c r="A607" s="26" t="str">
        <f>IFERROR(__xludf.DUMMYFUNCTION("""COMPUTED_VALUE"""),"CA-2015-126186")</f>
        <v>CA-2015-126186</v>
      </c>
      <c r="B607" s="27">
        <f>IFERROR(__xludf.DUMMYFUNCTION("""COMPUTED_VALUE"""),42258.0)</f>
        <v>42258</v>
      </c>
      <c r="C607" s="26" t="str">
        <f>IFERROR(__xludf.DUMMYFUNCTION("""COMPUTED_VALUE"""),"George Bell")</f>
        <v>George Bell</v>
      </c>
      <c r="D607" s="26" t="str">
        <f>IFERROR(__xludf.DUMMYFUNCTION("""COMPUTED_VALUE"""),"Corporate")</f>
        <v>Corporate</v>
      </c>
      <c r="E607" s="26" t="str">
        <f>IFERROR(__xludf.DUMMYFUNCTION("""COMPUTED_VALUE"""),"West")</f>
        <v>West</v>
      </c>
      <c r="F607" s="26">
        <f>IFERROR(__xludf.DUMMYFUNCTION("""COMPUTED_VALUE"""),24.64)</f>
        <v>24.64</v>
      </c>
      <c r="G607" s="26">
        <f>IFERROR(__xludf.DUMMYFUNCTION("""COMPUTED_VALUE"""),4.0)</f>
        <v>4</v>
      </c>
      <c r="H607" s="26">
        <f>IFERROR(__xludf.DUMMYFUNCTION("""COMPUTED_VALUE"""),4.004)</f>
        <v>4.004</v>
      </c>
    </row>
    <row r="608">
      <c r="A608" s="26" t="str">
        <f>IFERROR(__xludf.DUMMYFUNCTION("""COMPUTED_VALUE"""),"CA-2015-156118")</f>
        <v>CA-2015-156118</v>
      </c>
      <c r="B608" s="27">
        <f>IFERROR(__xludf.DUMMYFUNCTION("""COMPUTED_VALUE"""),42346.0)</f>
        <v>42346</v>
      </c>
      <c r="C608" s="26" t="str">
        <f>IFERROR(__xludf.DUMMYFUNCTION("""COMPUTED_VALUE"""),"Henry Goldwyn")</f>
        <v>Henry Goldwyn</v>
      </c>
      <c r="D608" s="26" t="str">
        <f>IFERROR(__xludf.DUMMYFUNCTION("""COMPUTED_VALUE"""),"Corporate")</f>
        <v>Corporate</v>
      </c>
      <c r="E608" s="26" t="str">
        <f>IFERROR(__xludf.DUMMYFUNCTION("""COMPUTED_VALUE"""),"West")</f>
        <v>West</v>
      </c>
      <c r="F608" s="26">
        <f>IFERROR(__xludf.DUMMYFUNCTION("""COMPUTED_VALUE"""),15.696)</f>
        <v>15.696</v>
      </c>
      <c r="G608" s="26">
        <f>IFERROR(__xludf.DUMMYFUNCTION("""COMPUTED_VALUE"""),3.0)</f>
        <v>3</v>
      </c>
      <c r="H608" s="26">
        <f>IFERROR(__xludf.DUMMYFUNCTION("""COMPUTED_VALUE"""),5.1012)</f>
        <v>5.1012</v>
      </c>
    </row>
    <row r="609">
      <c r="A609" s="26" t="str">
        <f>IFERROR(__xludf.DUMMYFUNCTION("""COMPUTED_VALUE"""),"CA-2015-158918")</f>
        <v>CA-2015-158918</v>
      </c>
      <c r="B609" s="27">
        <f>IFERROR(__xludf.DUMMYFUNCTION("""COMPUTED_VALUE"""),42358.0)</f>
        <v>42358</v>
      </c>
      <c r="C609" s="26" t="str">
        <f>IFERROR(__xludf.DUMMYFUNCTION("""COMPUTED_VALUE"""),"Arianne Irving")</f>
        <v>Arianne Irving</v>
      </c>
      <c r="D609" s="26" t="str">
        <f>IFERROR(__xludf.DUMMYFUNCTION("""COMPUTED_VALUE"""),"Consumer")</f>
        <v>Consumer</v>
      </c>
      <c r="E609" s="26" t="str">
        <f>IFERROR(__xludf.DUMMYFUNCTION("""COMPUTED_VALUE"""),"West")</f>
        <v>West</v>
      </c>
      <c r="F609" s="26">
        <f>IFERROR(__xludf.DUMMYFUNCTION("""COMPUTED_VALUE"""),17.12)</f>
        <v>17.12</v>
      </c>
      <c r="G609" s="26">
        <f>IFERROR(__xludf.DUMMYFUNCTION("""COMPUTED_VALUE"""),4.0)</f>
        <v>4</v>
      </c>
      <c r="H609" s="26">
        <f>IFERROR(__xludf.DUMMYFUNCTION("""COMPUTED_VALUE"""),7.704)</f>
        <v>7.704</v>
      </c>
    </row>
    <row r="610">
      <c r="A610" s="26" t="str">
        <f>IFERROR(__xludf.DUMMYFUNCTION("""COMPUTED_VALUE"""),"US-2015-145422")</f>
        <v>US-2015-145422</v>
      </c>
      <c r="B610" s="27">
        <f>IFERROR(__xludf.DUMMYFUNCTION("""COMPUTED_VALUE"""),42341.0)</f>
        <v>42341</v>
      </c>
      <c r="C610" s="26" t="str">
        <f>IFERROR(__xludf.DUMMYFUNCTION("""COMPUTED_VALUE"""),"Pierre Wener")</f>
        <v>Pierre Wener</v>
      </c>
      <c r="D610" s="26" t="str">
        <f>IFERROR(__xludf.DUMMYFUNCTION("""COMPUTED_VALUE"""),"Consumer")</f>
        <v>Consumer</v>
      </c>
      <c r="E610" s="26" t="str">
        <f>IFERROR(__xludf.DUMMYFUNCTION("""COMPUTED_VALUE"""),"West")</f>
        <v>West</v>
      </c>
      <c r="F610" s="26">
        <f>IFERROR(__xludf.DUMMYFUNCTION("""COMPUTED_VALUE"""),359.499)</f>
        <v>359.499</v>
      </c>
      <c r="G610" s="26">
        <f>IFERROR(__xludf.DUMMYFUNCTION("""COMPUTED_VALUE"""),3.0)</f>
        <v>3</v>
      </c>
      <c r="H610" s="26">
        <f>IFERROR(__xludf.DUMMYFUNCTION("""COMPUTED_VALUE"""),-29.6058)</f>
        <v>-29.6058</v>
      </c>
    </row>
    <row r="611">
      <c r="A611" s="26" t="str">
        <f>IFERROR(__xludf.DUMMYFUNCTION("""COMPUTED_VALUE"""),"US-2015-144771")</f>
        <v>US-2015-144771</v>
      </c>
      <c r="B611" s="27">
        <f>IFERROR(__xludf.DUMMYFUNCTION("""COMPUTED_VALUE"""),42279.0)</f>
        <v>42279</v>
      </c>
      <c r="C611" s="26" t="str">
        <f>IFERROR(__xludf.DUMMYFUNCTION("""COMPUTED_VALUE"""),"Chloris Kastensmidt")</f>
        <v>Chloris Kastensmidt</v>
      </c>
      <c r="D611" s="26" t="str">
        <f>IFERROR(__xludf.DUMMYFUNCTION("""COMPUTED_VALUE"""),"Consumer")</f>
        <v>Consumer</v>
      </c>
      <c r="E611" s="26" t="str">
        <f>IFERROR(__xludf.DUMMYFUNCTION("""COMPUTED_VALUE"""),"West")</f>
        <v>West</v>
      </c>
      <c r="F611" s="26">
        <f>IFERROR(__xludf.DUMMYFUNCTION("""COMPUTED_VALUE"""),11.032)</f>
        <v>11.032</v>
      </c>
      <c r="G611" s="26">
        <f>IFERROR(__xludf.DUMMYFUNCTION("""COMPUTED_VALUE"""),1.0)</f>
        <v>1</v>
      </c>
      <c r="H611" s="26">
        <f>IFERROR(__xludf.DUMMYFUNCTION("""COMPUTED_VALUE"""),3.0338)</f>
        <v>3.0338</v>
      </c>
    </row>
    <row r="612">
      <c r="A612" s="26" t="str">
        <f>IFERROR(__xludf.DUMMYFUNCTION("""COMPUTED_VALUE"""),"CA-2015-165813")</f>
        <v>CA-2015-165813</v>
      </c>
      <c r="B612" s="27">
        <f>IFERROR(__xludf.DUMMYFUNCTION("""COMPUTED_VALUE"""),42083.0)</f>
        <v>42083</v>
      </c>
      <c r="C612" s="26" t="str">
        <f>IFERROR(__xludf.DUMMYFUNCTION("""COMPUTED_VALUE"""),"Bryan Mills")</f>
        <v>Bryan Mills</v>
      </c>
      <c r="D612" s="26" t="str">
        <f>IFERROR(__xludf.DUMMYFUNCTION("""COMPUTED_VALUE"""),"Consumer")</f>
        <v>Consumer</v>
      </c>
      <c r="E612" s="26" t="str">
        <f>IFERROR(__xludf.DUMMYFUNCTION("""COMPUTED_VALUE"""),"West")</f>
        <v>West</v>
      </c>
      <c r="F612" s="26">
        <f>IFERROR(__xludf.DUMMYFUNCTION("""COMPUTED_VALUE"""),29.304)</f>
        <v>29.304</v>
      </c>
      <c r="G612" s="26">
        <f>IFERROR(__xludf.DUMMYFUNCTION("""COMPUTED_VALUE"""),3.0)</f>
        <v>3</v>
      </c>
      <c r="H612" s="26">
        <f>IFERROR(__xludf.DUMMYFUNCTION("""COMPUTED_VALUE"""),2.5641)</f>
        <v>2.5641</v>
      </c>
    </row>
    <row r="613">
      <c r="A613" s="26" t="str">
        <f>IFERROR(__xludf.DUMMYFUNCTION("""COMPUTED_VALUE"""),"CA-2015-127754")</f>
        <v>CA-2015-127754</v>
      </c>
      <c r="B613" s="27">
        <f>IFERROR(__xludf.DUMMYFUNCTION("""COMPUTED_VALUE"""),42211.0)</f>
        <v>42211</v>
      </c>
      <c r="C613" s="26" t="str">
        <f>IFERROR(__xludf.DUMMYFUNCTION("""COMPUTED_VALUE"""),"Cyma Kinney")</f>
        <v>Cyma Kinney</v>
      </c>
      <c r="D613" s="26" t="str">
        <f>IFERROR(__xludf.DUMMYFUNCTION("""COMPUTED_VALUE"""),"Corporate")</f>
        <v>Corporate</v>
      </c>
      <c r="E613" s="26" t="str">
        <f>IFERROR(__xludf.DUMMYFUNCTION("""COMPUTED_VALUE"""),"West")</f>
        <v>West</v>
      </c>
      <c r="F613" s="26">
        <f>IFERROR(__xludf.DUMMYFUNCTION("""COMPUTED_VALUE"""),266.352)</f>
        <v>266.352</v>
      </c>
      <c r="G613" s="26">
        <f>IFERROR(__xludf.DUMMYFUNCTION("""COMPUTED_VALUE"""),3.0)</f>
        <v>3</v>
      </c>
      <c r="H613" s="26">
        <f>IFERROR(__xludf.DUMMYFUNCTION("""COMPUTED_VALUE"""),13.3176)</f>
        <v>13.3176</v>
      </c>
    </row>
    <row r="614">
      <c r="A614" s="26" t="str">
        <f>IFERROR(__xludf.DUMMYFUNCTION("""COMPUTED_VALUE"""),"US-2015-107944")</f>
        <v>US-2015-107944</v>
      </c>
      <c r="B614" s="27">
        <f>IFERROR(__xludf.DUMMYFUNCTION("""COMPUTED_VALUE"""),42086.0)</f>
        <v>42086</v>
      </c>
      <c r="C614" s="26" t="str">
        <f>IFERROR(__xludf.DUMMYFUNCTION("""COMPUTED_VALUE"""),"Alice McCarthy")</f>
        <v>Alice McCarthy</v>
      </c>
      <c r="D614" s="26" t="str">
        <f>IFERROR(__xludf.DUMMYFUNCTION("""COMPUTED_VALUE"""),"Corporate")</f>
        <v>Corporate</v>
      </c>
      <c r="E614" s="26" t="str">
        <f>IFERROR(__xludf.DUMMYFUNCTION("""COMPUTED_VALUE"""),"West")</f>
        <v>West</v>
      </c>
      <c r="F614" s="26">
        <f>IFERROR(__xludf.DUMMYFUNCTION("""COMPUTED_VALUE"""),192.72)</f>
        <v>192.72</v>
      </c>
      <c r="G614" s="26">
        <f>IFERROR(__xludf.DUMMYFUNCTION("""COMPUTED_VALUE"""),11.0)</f>
        <v>11</v>
      </c>
      <c r="H614" s="26">
        <f>IFERROR(__xludf.DUMMYFUNCTION("""COMPUTED_VALUE"""),92.5056)</f>
        <v>92.5056</v>
      </c>
    </row>
    <row r="615">
      <c r="A615" s="26" t="str">
        <f>IFERROR(__xludf.DUMMYFUNCTION("""COMPUTED_VALUE"""),"CA-2015-111038")</f>
        <v>CA-2015-111038</v>
      </c>
      <c r="B615" s="27">
        <f>IFERROR(__xludf.DUMMYFUNCTION("""COMPUTED_VALUE"""),42339.0)</f>
        <v>42339</v>
      </c>
      <c r="C615" s="26" t="str">
        <f>IFERROR(__xludf.DUMMYFUNCTION("""COMPUTED_VALUE"""),"Lindsay Castell")</f>
        <v>Lindsay Castell</v>
      </c>
      <c r="D615" s="26" t="str">
        <f>IFERROR(__xludf.DUMMYFUNCTION("""COMPUTED_VALUE"""),"Home Office")</f>
        <v>Home Office</v>
      </c>
      <c r="E615" s="26" t="str">
        <f>IFERROR(__xludf.DUMMYFUNCTION("""COMPUTED_VALUE"""),"West")</f>
        <v>West</v>
      </c>
      <c r="F615" s="26">
        <f>IFERROR(__xludf.DUMMYFUNCTION("""COMPUTED_VALUE"""),2676.672)</f>
        <v>2676.672</v>
      </c>
      <c r="G615" s="26">
        <f>IFERROR(__xludf.DUMMYFUNCTION("""COMPUTED_VALUE"""),9.0)</f>
        <v>9</v>
      </c>
      <c r="H615" s="26">
        <f>IFERROR(__xludf.DUMMYFUNCTION("""COMPUTED_VALUE"""),267.6672)</f>
        <v>267.6672</v>
      </c>
    </row>
    <row r="616">
      <c r="A616" s="26" t="str">
        <f>IFERROR(__xludf.DUMMYFUNCTION("""COMPUTED_VALUE"""),"CA-2015-109603")</f>
        <v>CA-2015-109603</v>
      </c>
      <c r="B616" s="27">
        <f>IFERROR(__xludf.DUMMYFUNCTION("""COMPUTED_VALUE"""),42030.0)</f>
        <v>42030</v>
      </c>
      <c r="C616" s="26" t="str">
        <f>IFERROR(__xludf.DUMMYFUNCTION("""COMPUTED_VALUE"""),"Elizabeth Moffitt")</f>
        <v>Elizabeth Moffitt</v>
      </c>
      <c r="D616" s="26" t="str">
        <f>IFERROR(__xludf.DUMMYFUNCTION("""COMPUTED_VALUE"""),"Corporate")</f>
        <v>Corporate</v>
      </c>
      <c r="E616" s="26" t="str">
        <f>IFERROR(__xludf.DUMMYFUNCTION("""COMPUTED_VALUE"""),"West")</f>
        <v>West</v>
      </c>
      <c r="F616" s="26">
        <f>IFERROR(__xludf.DUMMYFUNCTION("""COMPUTED_VALUE"""),182.72)</f>
        <v>182.72</v>
      </c>
      <c r="G616" s="26">
        <f>IFERROR(__xludf.DUMMYFUNCTION("""COMPUTED_VALUE"""),8.0)</f>
        <v>8</v>
      </c>
      <c r="H616" s="26">
        <f>IFERROR(__xludf.DUMMYFUNCTION("""COMPUTED_VALUE"""),84.0512)</f>
        <v>84.0512</v>
      </c>
    </row>
    <row r="617">
      <c r="A617" s="26" t="str">
        <f>IFERROR(__xludf.DUMMYFUNCTION("""COMPUTED_VALUE"""),"CA-2015-143616")</f>
        <v>CA-2015-143616</v>
      </c>
      <c r="B617" s="27">
        <f>IFERROR(__xludf.DUMMYFUNCTION("""COMPUTED_VALUE"""),42274.0)</f>
        <v>42274</v>
      </c>
      <c r="C617" s="26" t="str">
        <f>IFERROR(__xludf.DUMMYFUNCTION("""COMPUTED_VALUE"""),"Saphhira Shifley")</f>
        <v>Saphhira Shifley</v>
      </c>
      <c r="D617" s="26" t="str">
        <f>IFERROR(__xludf.DUMMYFUNCTION("""COMPUTED_VALUE"""),"Corporate")</f>
        <v>Corporate</v>
      </c>
      <c r="E617" s="26" t="str">
        <f>IFERROR(__xludf.DUMMYFUNCTION("""COMPUTED_VALUE"""),"West")</f>
        <v>West</v>
      </c>
      <c r="F617" s="26">
        <f>IFERROR(__xludf.DUMMYFUNCTION("""COMPUTED_VALUE"""),99.2)</f>
        <v>99.2</v>
      </c>
      <c r="G617" s="26">
        <f>IFERROR(__xludf.DUMMYFUNCTION("""COMPUTED_VALUE"""),5.0)</f>
        <v>5</v>
      </c>
      <c r="H617" s="26">
        <f>IFERROR(__xludf.DUMMYFUNCTION("""COMPUTED_VALUE"""),25.792)</f>
        <v>25.792</v>
      </c>
    </row>
    <row r="618">
      <c r="A618" s="26" t="str">
        <f>IFERROR(__xludf.DUMMYFUNCTION("""COMPUTED_VALUE"""),"CA-2015-134117")</f>
        <v>CA-2015-134117</v>
      </c>
      <c r="B618" s="27">
        <f>IFERROR(__xludf.DUMMYFUNCTION("""COMPUTED_VALUE"""),42355.0)</f>
        <v>42355</v>
      </c>
      <c r="C618" s="26" t="str">
        <f>IFERROR(__xludf.DUMMYFUNCTION("""COMPUTED_VALUE"""),"Paul Gonzalez")</f>
        <v>Paul Gonzalez</v>
      </c>
      <c r="D618" s="26" t="str">
        <f>IFERROR(__xludf.DUMMYFUNCTION("""COMPUTED_VALUE"""),"Consumer")</f>
        <v>Consumer</v>
      </c>
      <c r="E618" s="26" t="str">
        <f>IFERROR(__xludf.DUMMYFUNCTION("""COMPUTED_VALUE"""),"West")</f>
        <v>West</v>
      </c>
      <c r="F618" s="26">
        <f>IFERROR(__xludf.DUMMYFUNCTION("""COMPUTED_VALUE"""),204.85)</f>
        <v>204.85</v>
      </c>
      <c r="G618" s="26">
        <f>IFERROR(__xludf.DUMMYFUNCTION("""COMPUTED_VALUE"""),5.0)</f>
        <v>5</v>
      </c>
      <c r="H618" s="26">
        <f>IFERROR(__xludf.DUMMYFUNCTION("""COMPUTED_VALUE"""),53.261)</f>
        <v>53.261</v>
      </c>
    </row>
    <row r="619">
      <c r="A619" s="26" t="str">
        <f>IFERROR(__xludf.DUMMYFUNCTION("""COMPUTED_VALUE"""),"CA-2015-102855")</f>
        <v>CA-2015-102855</v>
      </c>
      <c r="B619" s="27">
        <f>IFERROR(__xludf.DUMMYFUNCTION("""COMPUTED_VALUE"""),42099.0)</f>
        <v>42099</v>
      </c>
      <c r="C619" s="26" t="str">
        <f>IFERROR(__xludf.DUMMYFUNCTION("""COMPUTED_VALUE"""),"Jennifer Ferguson")</f>
        <v>Jennifer Ferguson</v>
      </c>
      <c r="D619" s="26" t="str">
        <f>IFERROR(__xludf.DUMMYFUNCTION("""COMPUTED_VALUE"""),"Consumer")</f>
        <v>Consumer</v>
      </c>
      <c r="E619" s="26" t="str">
        <f>IFERROR(__xludf.DUMMYFUNCTION("""COMPUTED_VALUE"""),"West")</f>
        <v>West</v>
      </c>
      <c r="F619" s="26">
        <f>IFERROR(__xludf.DUMMYFUNCTION("""COMPUTED_VALUE"""),239.94)</f>
        <v>239.94</v>
      </c>
      <c r="G619" s="26">
        <f>IFERROR(__xludf.DUMMYFUNCTION("""COMPUTED_VALUE"""),6.0)</f>
        <v>6</v>
      </c>
      <c r="H619" s="26">
        <f>IFERROR(__xludf.DUMMYFUNCTION("""COMPUTED_VALUE"""),26.3934)</f>
        <v>26.3934</v>
      </c>
    </row>
    <row r="620">
      <c r="A620" s="26" t="str">
        <f>IFERROR(__xludf.DUMMYFUNCTION("""COMPUTED_VALUE"""),"CA-2015-168760")</f>
        <v>CA-2015-168760</v>
      </c>
      <c r="B620" s="27">
        <f>IFERROR(__xludf.DUMMYFUNCTION("""COMPUTED_VALUE"""),42269.0)</f>
        <v>42269</v>
      </c>
      <c r="C620" s="26" t="str">
        <f>IFERROR(__xludf.DUMMYFUNCTION("""COMPUTED_VALUE"""),"Muhammed MacIntyre")</f>
        <v>Muhammed MacIntyre</v>
      </c>
      <c r="D620" s="26" t="str">
        <f>IFERROR(__xludf.DUMMYFUNCTION("""COMPUTED_VALUE"""),"Corporate")</f>
        <v>Corporate</v>
      </c>
      <c r="E620" s="26" t="str">
        <f>IFERROR(__xludf.DUMMYFUNCTION("""COMPUTED_VALUE"""),"West")</f>
        <v>West</v>
      </c>
      <c r="F620" s="26">
        <f>IFERROR(__xludf.DUMMYFUNCTION("""COMPUTED_VALUE"""),61.44)</f>
        <v>61.44</v>
      </c>
      <c r="G620" s="26">
        <f>IFERROR(__xludf.DUMMYFUNCTION("""COMPUTED_VALUE"""),3.0)</f>
        <v>3</v>
      </c>
      <c r="H620" s="26">
        <f>IFERROR(__xludf.DUMMYFUNCTION("""COMPUTED_VALUE"""),16.5888)</f>
        <v>16.5888</v>
      </c>
    </row>
    <row r="621">
      <c r="A621" s="26" t="str">
        <f>IFERROR(__xludf.DUMMYFUNCTION("""COMPUTED_VALUE"""),"CA-2015-165554")</f>
        <v>CA-2015-165554</v>
      </c>
      <c r="B621" s="27">
        <f>IFERROR(__xludf.DUMMYFUNCTION("""COMPUTED_VALUE"""),42142.0)</f>
        <v>42142</v>
      </c>
      <c r="C621" s="26" t="str">
        <f>IFERROR(__xludf.DUMMYFUNCTION("""COMPUTED_VALUE"""),"Anthony Jacobs")</f>
        <v>Anthony Jacobs</v>
      </c>
      <c r="D621" s="26" t="str">
        <f>IFERROR(__xludf.DUMMYFUNCTION("""COMPUTED_VALUE"""),"Corporate")</f>
        <v>Corporate</v>
      </c>
      <c r="E621" s="26" t="str">
        <f>IFERROR(__xludf.DUMMYFUNCTION("""COMPUTED_VALUE"""),"West")</f>
        <v>West</v>
      </c>
      <c r="F621" s="26">
        <f>IFERROR(__xludf.DUMMYFUNCTION("""COMPUTED_VALUE"""),10.86)</f>
        <v>10.86</v>
      </c>
      <c r="G621" s="26">
        <f>IFERROR(__xludf.DUMMYFUNCTION("""COMPUTED_VALUE"""),2.0)</f>
        <v>2</v>
      </c>
      <c r="H621" s="26">
        <f>IFERROR(__xludf.DUMMYFUNCTION("""COMPUTED_VALUE"""),5.3214)</f>
        <v>5.3214</v>
      </c>
    </row>
    <row r="622">
      <c r="A622" s="26" t="str">
        <f>IFERROR(__xludf.DUMMYFUNCTION("""COMPUTED_VALUE"""),"CA-2015-128993")</f>
        <v>CA-2015-128993</v>
      </c>
      <c r="B622" s="27">
        <f>IFERROR(__xludf.DUMMYFUNCTION("""COMPUTED_VALUE"""),42259.0)</f>
        <v>42259</v>
      </c>
      <c r="C622" s="26" t="str">
        <f>IFERROR(__xludf.DUMMYFUNCTION("""COMPUTED_VALUE"""),"Craig Carreira")</f>
        <v>Craig Carreira</v>
      </c>
      <c r="D622" s="26" t="str">
        <f>IFERROR(__xludf.DUMMYFUNCTION("""COMPUTED_VALUE"""),"Consumer")</f>
        <v>Consumer</v>
      </c>
      <c r="E622" s="26" t="str">
        <f>IFERROR(__xludf.DUMMYFUNCTION("""COMPUTED_VALUE"""),"West")</f>
        <v>West</v>
      </c>
      <c r="F622" s="26">
        <f>IFERROR(__xludf.DUMMYFUNCTION("""COMPUTED_VALUE"""),21.98)</f>
        <v>21.98</v>
      </c>
      <c r="G622" s="26">
        <f>IFERROR(__xludf.DUMMYFUNCTION("""COMPUTED_VALUE"""),2.0)</f>
        <v>2</v>
      </c>
      <c r="H622" s="26">
        <f>IFERROR(__xludf.DUMMYFUNCTION("""COMPUTED_VALUE"""),8.5722)</f>
        <v>8.5722</v>
      </c>
    </row>
    <row r="623">
      <c r="A623" s="26" t="str">
        <f>IFERROR(__xludf.DUMMYFUNCTION("""COMPUTED_VALUE"""),"CA-2015-149097")</f>
        <v>CA-2015-149097</v>
      </c>
      <c r="B623" s="27">
        <f>IFERROR(__xludf.DUMMYFUNCTION("""COMPUTED_VALUE"""),42297.0)</f>
        <v>42297</v>
      </c>
      <c r="C623" s="26" t="str">
        <f>IFERROR(__xludf.DUMMYFUNCTION("""COMPUTED_VALUE"""),"Stewart Visinsky")</f>
        <v>Stewart Visinsky</v>
      </c>
      <c r="D623" s="26" t="str">
        <f>IFERROR(__xludf.DUMMYFUNCTION("""COMPUTED_VALUE"""),"Consumer")</f>
        <v>Consumer</v>
      </c>
      <c r="E623" s="26" t="str">
        <f>IFERROR(__xludf.DUMMYFUNCTION("""COMPUTED_VALUE"""),"West")</f>
        <v>West</v>
      </c>
      <c r="F623" s="26">
        <f>IFERROR(__xludf.DUMMYFUNCTION("""COMPUTED_VALUE"""),74.76)</f>
        <v>74.76</v>
      </c>
      <c r="G623" s="26">
        <f>IFERROR(__xludf.DUMMYFUNCTION("""COMPUTED_VALUE"""),7.0)</f>
        <v>7</v>
      </c>
      <c r="H623" s="26">
        <f>IFERROR(__xludf.DUMMYFUNCTION("""COMPUTED_VALUE"""),23.9232)</f>
        <v>23.9232</v>
      </c>
    </row>
    <row r="624">
      <c r="A624" s="26" t="str">
        <f>IFERROR(__xludf.DUMMYFUNCTION("""COMPUTED_VALUE"""),"CA-2015-136420")</f>
        <v>CA-2015-136420</v>
      </c>
      <c r="B624" s="27">
        <f>IFERROR(__xludf.DUMMYFUNCTION("""COMPUTED_VALUE"""),42328.0)</f>
        <v>42328</v>
      </c>
      <c r="C624" s="26" t="str">
        <f>IFERROR(__xludf.DUMMYFUNCTION("""COMPUTED_VALUE"""),"Chris Selesnick")</f>
        <v>Chris Selesnick</v>
      </c>
      <c r="D624" s="26" t="str">
        <f>IFERROR(__xludf.DUMMYFUNCTION("""COMPUTED_VALUE"""),"Corporate")</f>
        <v>Corporate</v>
      </c>
      <c r="E624" s="26" t="str">
        <f>IFERROR(__xludf.DUMMYFUNCTION("""COMPUTED_VALUE"""),"West")</f>
        <v>West</v>
      </c>
      <c r="F624" s="26">
        <f>IFERROR(__xludf.DUMMYFUNCTION("""COMPUTED_VALUE"""),89.696)</f>
        <v>89.696</v>
      </c>
      <c r="G624" s="26">
        <f>IFERROR(__xludf.DUMMYFUNCTION("""COMPUTED_VALUE"""),4.0)</f>
        <v>4</v>
      </c>
      <c r="H624" s="26">
        <f>IFERROR(__xludf.DUMMYFUNCTION("""COMPUTED_VALUE"""),33.636)</f>
        <v>33.636</v>
      </c>
    </row>
    <row r="625">
      <c r="A625" s="26" t="str">
        <f>IFERROR(__xludf.DUMMYFUNCTION("""COMPUTED_VALUE"""),"CA-2015-157028")</f>
        <v>CA-2015-157028</v>
      </c>
      <c r="B625" s="27">
        <f>IFERROR(__xludf.DUMMYFUNCTION("""COMPUTED_VALUE"""),42336.0)</f>
        <v>42336</v>
      </c>
      <c r="C625" s="26" t="str">
        <f>IFERROR(__xludf.DUMMYFUNCTION("""COMPUTED_VALUE"""),"Michelle Arnett")</f>
        <v>Michelle Arnett</v>
      </c>
      <c r="D625" s="26" t="str">
        <f>IFERROR(__xludf.DUMMYFUNCTION("""COMPUTED_VALUE"""),"Home Office")</f>
        <v>Home Office</v>
      </c>
      <c r="E625" s="26" t="str">
        <f>IFERROR(__xludf.DUMMYFUNCTION("""COMPUTED_VALUE"""),"West")</f>
        <v>West</v>
      </c>
      <c r="F625" s="26">
        <f>IFERROR(__xludf.DUMMYFUNCTION("""COMPUTED_VALUE"""),8.28)</f>
        <v>8.28</v>
      </c>
      <c r="G625" s="26">
        <f>IFERROR(__xludf.DUMMYFUNCTION("""COMPUTED_VALUE"""),2.0)</f>
        <v>2</v>
      </c>
      <c r="H625" s="26">
        <f>IFERROR(__xludf.DUMMYFUNCTION("""COMPUTED_VALUE"""),3.4776)</f>
        <v>3.4776</v>
      </c>
    </row>
    <row r="626">
      <c r="A626" s="26" t="str">
        <f>IFERROR(__xludf.DUMMYFUNCTION("""COMPUTED_VALUE"""),"CA-2015-157805")</f>
        <v>CA-2015-157805</v>
      </c>
      <c r="B626" s="27">
        <f>IFERROR(__xludf.DUMMYFUNCTION("""COMPUTED_VALUE"""),42247.0)</f>
        <v>42247</v>
      </c>
      <c r="C626" s="26" t="str">
        <f>IFERROR(__xludf.DUMMYFUNCTION("""COMPUTED_VALUE"""),"Rick Huthwaite")</f>
        <v>Rick Huthwaite</v>
      </c>
      <c r="D626" s="26" t="str">
        <f>IFERROR(__xludf.DUMMYFUNCTION("""COMPUTED_VALUE"""),"Home Office")</f>
        <v>Home Office</v>
      </c>
      <c r="E626" s="26" t="str">
        <f>IFERROR(__xludf.DUMMYFUNCTION("""COMPUTED_VALUE"""),"West")</f>
        <v>West</v>
      </c>
      <c r="F626" s="26">
        <f>IFERROR(__xludf.DUMMYFUNCTION("""COMPUTED_VALUE"""),555.96)</f>
        <v>555.96</v>
      </c>
      <c r="G626" s="26">
        <f>IFERROR(__xludf.DUMMYFUNCTION("""COMPUTED_VALUE"""),5.0)</f>
        <v>5</v>
      </c>
      <c r="H626" s="26">
        <f>IFERROR(__xludf.DUMMYFUNCTION("""COMPUTED_VALUE"""),41.697)</f>
        <v>41.697</v>
      </c>
    </row>
    <row r="627">
      <c r="A627" s="26" t="str">
        <f>IFERROR(__xludf.DUMMYFUNCTION("""COMPUTED_VALUE"""),"US-2015-106873")</f>
        <v>US-2015-106873</v>
      </c>
      <c r="B627" s="27">
        <f>IFERROR(__xludf.DUMMYFUNCTION("""COMPUTED_VALUE"""),42271.0)</f>
        <v>42271</v>
      </c>
      <c r="C627" s="26" t="str">
        <f>IFERROR(__xludf.DUMMYFUNCTION("""COMPUTED_VALUE"""),"Kunst Miller")</f>
        <v>Kunst Miller</v>
      </c>
      <c r="D627" s="26" t="str">
        <f>IFERROR(__xludf.DUMMYFUNCTION("""COMPUTED_VALUE"""),"Consumer")</f>
        <v>Consumer</v>
      </c>
      <c r="E627" s="26" t="str">
        <f>IFERROR(__xludf.DUMMYFUNCTION("""COMPUTED_VALUE"""),"West")</f>
        <v>West</v>
      </c>
      <c r="F627" s="26">
        <f>IFERROR(__xludf.DUMMYFUNCTION("""COMPUTED_VALUE"""),14.576)</f>
        <v>14.576</v>
      </c>
      <c r="G627" s="26">
        <f>IFERROR(__xludf.DUMMYFUNCTION("""COMPUTED_VALUE"""),2.0)</f>
        <v>2</v>
      </c>
      <c r="H627" s="26">
        <f>IFERROR(__xludf.DUMMYFUNCTION("""COMPUTED_VALUE"""),2.3686)</f>
        <v>2.3686</v>
      </c>
    </row>
    <row r="628">
      <c r="A628" s="26" t="str">
        <f>IFERROR(__xludf.DUMMYFUNCTION("""COMPUTED_VALUE"""),"CA-2015-167479")</f>
        <v>CA-2015-167479</v>
      </c>
      <c r="B628" s="27">
        <f>IFERROR(__xludf.DUMMYFUNCTION("""COMPUTED_VALUE"""),42077.0)</f>
        <v>42077</v>
      </c>
      <c r="C628" s="26" t="str">
        <f>IFERROR(__xludf.DUMMYFUNCTION("""COMPUTED_VALUE"""),"Arianne Irving")</f>
        <v>Arianne Irving</v>
      </c>
      <c r="D628" s="26" t="str">
        <f>IFERROR(__xludf.DUMMYFUNCTION("""COMPUTED_VALUE"""),"Consumer")</f>
        <v>Consumer</v>
      </c>
      <c r="E628" s="26" t="str">
        <f>IFERROR(__xludf.DUMMYFUNCTION("""COMPUTED_VALUE"""),"West")</f>
        <v>West</v>
      </c>
      <c r="F628" s="26">
        <f>IFERROR(__xludf.DUMMYFUNCTION("""COMPUTED_VALUE"""),19.44)</f>
        <v>19.44</v>
      </c>
      <c r="G628" s="26">
        <f>IFERROR(__xludf.DUMMYFUNCTION("""COMPUTED_VALUE"""),3.0)</f>
        <v>3</v>
      </c>
      <c r="H628" s="26">
        <f>IFERROR(__xludf.DUMMYFUNCTION("""COMPUTED_VALUE"""),9.3312)</f>
        <v>9.3312</v>
      </c>
    </row>
    <row r="629">
      <c r="A629" s="26" t="str">
        <f>IFERROR(__xludf.DUMMYFUNCTION("""COMPUTED_VALUE"""),"CA-2015-137603")</f>
        <v>CA-2015-137603</v>
      </c>
      <c r="B629" s="27">
        <f>IFERROR(__xludf.DUMMYFUNCTION("""COMPUTED_VALUE"""),42266.0)</f>
        <v>42266</v>
      </c>
      <c r="C629" s="26" t="str">
        <f>IFERROR(__xludf.DUMMYFUNCTION("""COMPUTED_VALUE"""),"Marc Harrigan")</f>
        <v>Marc Harrigan</v>
      </c>
      <c r="D629" s="26" t="str">
        <f>IFERROR(__xludf.DUMMYFUNCTION("""COMPUTED_VALUE"""),"Home Office")</f>
        <v>Home Office</v>
      </c>
      <c r="E629" s="26" t="str">
        <f>IFERROR(__xludf.DUMMYFUNCTION("""COMPUTED_VALUE"""),"West")</f>
        <v>West</v>
      </c>
      <c r="F629" s="26">
        <f>IFERROR(__xludf.DUMMYFUNCTION("""COMPUTED_VALUE"""),8.4)</f>
        <v>8.4</v>
      </c>
      <c r="G629" s="26">
        <f>IFERROR(__xludf.DUMMYFUNCTION("""COMPUTED_VALUE"""),5.0)</f>
        <v>5</v>
      </c>
      <c r="H629" s="26">
        <f>IFERROR(__xludf.DUMMYFUNCTION("""COMPUTED_VALUE"""),2.184)</f>
        <v>2.184</v>
      </c>
    </row>
    <row r="630">
      <c r="A630" s="26" t="str">
        <f>IFERROR(__xludf.DUMMYFUNCTION("""COMPUTED_VALUE"""),"CA-2015-164497")</f>
        <v>CA-2015-164497</v>
      </c>
      <c r="B630" s="27">
        <f>IFERROR(__xludf.DUMMYFUNCTION("""COMPUTED_VALUE"""),42336.0)</f>
        <v>42336</v>
      </c>
      <c r="C630" s="26" t="str">
        <f>IFERROR(__xludf.DUMMYFUNCTION("""COMPUTED_VALUE"""),"Ashley Jarboe")</f>
        <v>Ashley Jarboe</v>
      </c>
      <c r="D630" s="26" t="str">
        <f>IFERROR(__xludf.DUMMYFUNCTION("""COMPUTED_VALUE"""),"Consumer")</f>
        <v>Consumer</v>
      </c>
      <c r="E630" s="26" t="str">
        <f>IFERROR(__xludf.DUMMYFUNCTION("""COMPUTED_VALUE"""),"West")</f>
        <v>West</v>
      </c>
      <c r="F630" s="26">
        <f>IFERROR(__xludf.DUMMYFUNCTION("""COMPUTED_VALUE"""),45.28)</f>
        <v>45.28</v>
      </c>
      <c r="G630" s="26">
        <f>IFERROR(__xludf.DUMMYFUNCTION("""COMPUTED_VALUE"""),4.0)</f>
        <v>4</v>
      </c>
      <c r="H630" s="26">
        <f>IFERROR(__xludf.DUMMYFUNCTION("""COMPUTED_VALUE"""),15.3952)</f>
        <v>15.3952</v>
      </c>
    </row>
    <row r="631">
      <c r="A631" s="26" t="str">
        <f>IFERROR(__xludf.DUMMYFUNCTION("""COMPUTED_VALUE"""),"CA-2015-126347")</f>
        <v>CA-2015-126347</v>
      </c>
      <c r="B631" s="27">
        <f>IFERROR(__xludf.DUMMYFUNCTION("""COMPUTED_VALUE"""),42352.0)</f>
        <v>42352</v>
      </c>
      <c r="C631" s="26" t="str">
        <f>IFERROR(__xludf.DUMMYFUNCTION("""COMPUTED_VALUE"""),"Ashley Jarboe")</f>
        <v>Ashley Jarboe</v>
      </c>
      <c r="D631" s="26" t="str">
        <f>IFERROR(__xludf.DUMMYFUNCTION("""COMPUTED_VALUE"""),"Consumer")</f>
        <v>Consumer</v>
      </c>
      <c r="E631" s="26" t="str">
        <f>IFERROR(__xludf.DUMMYFUNCTION("""COMPUTED_VALUE"""),"West")</f>
        <v>West</v>
      </c>
      <c r="F631" s="26">
        <f>IFERROR(__xludf.DUMMYFUNCTION("""COMPUTED_VALUE"""),50.0)</f>
        <v>50</v>
      </c>
      <c r="G631" s="26">
        <f>IFERROR(__xludf.DUMMYFUNCTION("""COMPUTED_VALUE"""),2.0)</f>
        <v>2</v>
      </c>
      <c r="H631" s="26">
        <f>IFERROR(__xludf.DUMMYFUNCTION("""COMPUTED_VALUE"""),10.5)</f>
        <v>10.5</v>
      </c>
    </row>
    <row r="632">
      <c r="A632" s="26" t="str">
        <f>IFERROR(__xludf.DUMMYFUNCTION("""COMPUTED_VALUE"""),"CA-2015-130848")</f>
        <v>CA-2015-130848</v>
      </c>
      <c r="B632" s="27">
        <f>IFERROR(__xludf.DUMMYFUNCTION("""COMPUTED_VALUE"""),42302.0)</f>
        <v>42302</v>
      </c>
      <c r="C632" s="26" t="str">
        <f>IFERROR(__xludf.DUMMYFUNCTION("""COMPUTED_VALUE"""),"Deirdre Greer")</f>
        <v>Deirdre Greer</v>
      </c>
      <c r="D632" s="26" t="str">
        <f>IFERROR(__xludf.DUMMYFUNCTION("""COMPUTED_VALUE"""),"Corporate")</f>
        <v>Corporate</v>
      </c>
      <c r="E632" s="26" t="str">
        <f>IFERROR(__xludf.DUMMYFUNCTION("""COMPUTED_VALUE"""),"West")</f>
        <v>West</v>
      </c>
      <c r="F632" s="26">
        <f>IFERROR(__xludf.DUMMYFUNCTION("""COMPUTED_VALUE"""),582.336)</f>
        <v>582.336</v>
      </c>
      <c r="G632" s="26">
        <f>IFERROR(__xludf.DUMMYFUNCTION("""COMPUTED_VALUE"""),8.0)</f>
        <v>8</v>
      </c>
      <c r="H632" s="26">
        <f>IFERROR(__xludf.DUMMYFUNCTION("""COMPUTED_VALUE"""),-29.1168)</f>
        <v>-29.1168</v>
      </c>
    </row>
    <row r="633">
      <c r="A633" s="26" t="str">
        <f>IFERROR(__xludf.DUMMYFUNCTION("""COMPUTED_VALUE"""),"CA-2015-164777")</f>
        <v>CA-2015-164777</v>
      </c>
      <c r="B633" s="27">
        <f>IFERROR(__xludf.DUMMYFUNCTION("""COMPUTED_VALUE"""),42031.0)</f>
        <v>42031</v>
      </c>
      <c r="C633" s="26" t="str">
        <f>IFERROR(__xludf.DUMMYFUNCTION("""COMPUTED_VALUE"""),"Sean Christensen")</f>
        <v>Sean Christensen</v>
      </c>
      <c r="D633" s="26" t="str">
        <f>IFERROR(__xludf.DUMMYFUNCTION("""COMPUTED_VALUE"""),"Consumer")</f>
        <v>Consumer</v>
      </c>
      <c r="E633" s="26" t="str">
        <f>IFERROR(__xludf.DUMMYFUNCTION("""COMPUTED_VALUE"""),"West")</f>
        <v>West</v>
      </c>
      <c r="F633" s="26">
        <f>IFERROR(__xludf.DUMMYFUNCTION("""COMPUTED_VALUE"""),2803.92)</f>
        <v>2803.92</v>
      </c>
      <c r="G633" s="26">
        <f>IFERROR(__xludf.DUMMYFUNCTION("""COMPUTED_VALUE"""),5.0)</f>
        <v>5</v>
      </c>
      <c r="H633" s="26">
        <f>IFERROR(__xludf.DUMMYFUNCTION("""COMPUTED_VALUE"""),0.0)</f>
        <v>0</v>
      </c>
    </row>
    <row r="634">
      <c r="A634" s="26" t="str">
        <f>IFERROR(__xludf.DUMMYFUNCTION("""COMPUTED_VALUE"""),"CA-2015-127824")</f>
        <v>CA-2015-127824</v>
      </c>
      <c r="B634" s="27">
        <f>IFERROR(__xludf.DUMMYFUNCTION("""COMPUTED_VALUE"""),42295.0)</f>
        <v>42295</v>
      </c>
      <c r="C634" s="26" t="str">
        <f>IFERROR(__xludf.DUMMYFUNCTION("""COMPUTED_VALUE"""),"John Castell")</f>
        <v>John Castell</v>
      </c>
      <c r="D634" s="26" t="str">
        <f>IFERROR(__xludf.DUMMYFUNCTION("""COMPUTED_VALUE"""),"Consumer")</f>
        <v>Consumer</v>
      </c>
      <c r="E634" s="26" t="str">
        <f>IFERROR(__xludf.DUMMYFUNCTION("""COMPUTED_VALUE"""),"West")</f>
        <v>West</v>
      </c>
      <c r="F634" s="26">
        <f>IFERROR(__xludf.DUMMYFUNCTION("""COMPUTED_VALUE"""),249.584)</f>
        <v>249.584</v>
      </c>
      <c r="G634" s="26">
        <f>IFERROR(__xludf.DUMMYFUNCTION("""COMPUTED_VALUE"""),2.0)</f>
        <v>2</v>
      </c>
      <c r="H634" s="26">
        <f>IFERROR(__xludf.DUMMYFUNCTION("""COMPUTED_VALUE"""),15.599)</f>
        <v>15.599</v>
      </c>
    </row>
    <row r="635">
      <c r="A635" s="26" t="str">
        <f>IFERROR(__xludf.DUMMYFUNCTION("""COMPUTED_VALUE"""),"CA-2015-119627")</f>
        <v>CA-2015-119627</v>
      </c>
      <c r="B635" s="27">
        <f>IFERROR(__xludf.DUMMYFUNCTION("""COMPUTED_VALUE"""),42233.0)</f>
        <v>42233</v>
      </c>
      <c r="C635" s="26" t="str">
        <f>IFERROR(__xludf.DUMMYFUNCTION("""COMPUTED_VALUE"""),"Steven Cartwright")</f>
        <v>Steven Cartwright</v>
      </c>
      <c r="D635" s="26" t="str">
        <f>IFERROR(__xludf.DUMMYFUNCTION("""COMPUTED_VALUE"""),"Consumer")</f>
        <v>Consumer</v>
      </c>
      <c r="E635" s="26" t="str">
        <f>IFERROR(__xludf.DUMMYFUNCTION("""COMPUTED_VALUE"""),"West")</f>
        <v>West</v>
      </c>
      <c r="F635" s="26">
        <f>IFERROR(__xludf.DUMMYFUNCTION("""COMPUTED_VALUE"""),30.08)</f>
        <v>30.08</v>
      </c>
      <c r="G635" s="26">
        <f>IFERROR(__xludf.DUMMYFUNCTION("""COMPUTED_VALUE"""),2.0)</f>
        <v>2</v>
      </c>
      <c r="H635" s="26">
        <f>IFERROR(__xludf.DUMMYFUNCTION("""COMPUTED_VALUE"""),-5.264)</f>
        <v>-5.264</v>
      </c>
    </row>
    <row r="636">
      <c r="A636" s="26" t="str">
        <f>IFERROR(__xludf.DUMMYFUNCTION("""COMPUTED_VALUE"""),"CA-2015-129546")</f>
        <v>CA-2015-129546</v>
      </c>
      <c r="B636" s="27">
        <f>IFERROR(__xludf.DUMMYFUNCTION("""COMPUTED_VALUE"""),42275.0)</f>
        <v>42275</v>
      </c>
      <c r="C636" s="26" t="str">
        <f>IFERROR(__xludf.DUMMYFUNCTION("""COMPUTED_VALUE"""),"Roy Phan")</f>
        <v>Roy Phan</v>
      </c>
      <c r="D636" s="26" t="str">
        <f>IFERROR(__xludf.DUMMYFUNCTION("""COMPUTED_VALUE"""),"Corporate")</f>
        <v>Corporate</v>
      </c>
      <c r="E636" s="26" t="str">
        <f>IFERROR(__xludf.DUMMYFUNCTION("""COMPUTED_VALUE"""),"West")</f>
        <v>West</v>
      </c>
      <c r="F636" s="26">
        <f>IFERROR(__xludf.DUMMYFUNCTION("""COMPUTED_VALUE"""),186.15)</f>
        <v>186.15</v>
      </c>
      <c r="G636" s="26">
        <f>IFERROR(__xludf.DUMMYFUNCTION("""COMPUTED_VALUE"""),3.0)</f>
        <v>3</v>
      </c>
      <c r="H636" s="26">
        <f>IFERROR(__xludf.DUMMYFUNCTION("""COMPUTED_VALUE"""),55.845)</f>
        <v>55.845</v>
      </c>
    </row>
    <row r="637">
      <c r="A637" s="26" t="str">
        <f>IFERROR(__xludf.DUMMYFUNCTION("""COMPUTED_VALUE"""),"CA-2015-156566")</f>
        <v>CA-2015-156566</v>
      </c>
      <c r="B637" s="27">
        <f>IFERROR(__xludf.DUMMYFUNCTION("""COMPUTED_VALUE"""),42278.0)</f>
        <v>42278</v>
      </c>
      <c r="C637" s="26" t="str">
        <f>IFERROR(__xludf.DUMMYFUNCTION("""COMPUTED_VALUE"""),"Eric Murdock")</f>
        <v>Eric Murdock</v>
      </c>
      <c r="D637" s="26" t="str">
        <f>IFERROR(__xludf.DUMMYFUNCTION("""COMPUTED_VALUE"""),"Consumer")</f>
        <v>Consumer</v>
      </c>
      <c r="E637" s="26" t="str">
        <f>IFERROR(__xludf.DUMMYFUNCTION("""COMPUTED_VALUE"""),"West")</f>
        <v>West</v>
      </c>
      <c r="F637" s="26">
        <f>IFERROR(__xludf.DUMMYFUNCTION("""COMPUTED_VALUE"""),572.8)</f>
        <v>572.8</v>
      </c>
      <c r="G637" s="26">
        <f>IFERROR(__xludf.DUMMYFUNCTION("""COMPUTED_VALUE"""),2.0)</f>
        <v>2</v>
      </c>
      <c r="H637" s="26">
        <f>IFERROR(__xludf.DUMMYFUNCTION("""COMPUTED_VALUE"""),50.12)</f>
        <v>50.12</v>
      </c>
    </row>
    <row r="638">
      <c r="A638" s="26" t="str">
        <f>IFERROR(__xludf.DUMMYFUNCTION("""COMPUTED_VALUE"""),"US-2015-158589")</f>
        <v>US-2015-158589</v>
      </c>
      <c r="B638" s="27">
        <f>IFERROR(__xludf.DUMMYFUNCTION("""COMPUTED_VALUE"""),42328.0)</f>
        <v>42328</v>
      </c>
      <c r="C638" s="26" t="str">
        <f>IFERROR(__xludf.DUMMYFUNCTION("""COMPUTED_VALUE"""),"Kelly Williams")</f>
        <v>Kelly Williams</v>
      </c>
      <c r="D638" s="26" t="str">
        <f>IFERROR(__xludf.DUMMYFUNCTION("""COMPUTED_VALUE"""),"Consumer")</f>
        <v>Consumer</v>
      </c>
      <c r="E638" s="26" t="str">
        <f>IFERROR(__xludf.DUMMYFUNCTION("""COMPUTED_VALUE"""),"West")</f>
        <v>West</v>
      </c>
      <c r="F638" s="26">
        <f>IFERROR(__xludf.DUMMYFUNCTION("""COMPUTED_VALUE"""),32.04)</f>
        <v>32.04</v>
      </c>
      <c r="G638" s="26">
        <f>IFERROR(__xludf.DUMMYFUNCTION("""COMPUTED_VALUE"""),3.0)</f>
        <v>3</v>
      </c>
      <c r="H638" s="26">
        <f>IFERROR(__xludf.DUMMYFUNCTION("""COMPUTED_VALUE"""),8.01)</f>
        <v>8.01</v>
      </c>
    </row>
    <row r="639">
      <c r="A639" s="26" t="str">
        <f>IFERROR(__xludf.DUMMYFUNCTION("""COMPUTED_VALUE"""),"CA-2015-135727")</f>
        <v>CA-2015-135727</v>
      </c>
      <c r="B639" s="27">
        <f>IFERROR(__xludf.DUMMYFUNCTION("""COMPUTED_VALUE"""),42135.0)</f>
        <v>42135</v>
      </c>
      <c r="C639" s="26" t="str">
        <f>IFERROR(__xludf.DUMMYFUNCTION("""COMPUTED_VALUE"""),"Paul Stevenson")</f>
        <v>Paul Stevenson</v>
      </c>
      <c r="D639" s="26" t="str">
        <f>IFERROR(__xludf.DUMMYFUNCTION("""COMPUTED_VALUE"""),"Home Office")</f>
        <v>Home Office</v>
      </c>
      <c r="E639" s="26" t="str">
        <f>IFERROR(__xludf.DUMMYFUNCTION("""COMPUTED_VALUE"""),"West")</f>
        <v>West</v>
      </c>
      <c r="F639" s="26">
        <f>IFERROR(__xludf.DUMMYFUNCTION("""COMPUTED_VALUE"""),191.968)</f>
        <v>191.968</v>
      </c>
      <c r="G639" s="26">
        <f>IFERROR(__xludf.DUMMYFUNCTION("""COMPUTED_VALUE"""),7.0)</f>
        <v>7</v>
      </c>
      <c r="H639" s="26">
        <f>IFERROR(__xludf.DUMMYFUNCTION("""COMPUTED_VALUE"""),16.7972)</f>
        <v>16.7972</v>
      </c>
    </row>
    <row r="640">
      <c r="A640" s="26" t="str">
        <f>IFERROR(__xludf.DUMMYFUNCTION("""COMPUTED_VALUE"""),"CA-2015-160864")</f>
        <v>CA-2015-160864</v>
      </c>
      <c r="B640" s="27">
        <f>IFERROR(__xludf.DUMMYFUNCTION("""COMPUTED_VALUE"""),42127.0)</f>
        <v>42127</v>
      </c>
      <c r="C640" s="26" t="str">
        <f>IFERROR(__xludf.DUMMYFUNCTION("""COMPUTED_VALUE"""),"Nicole Fjeld")</f>
        <v>Nicole Fjeld</v>
      </c>
      <c r="D640" s="26" t="str">
        <f>IFERROR(__xludf.DUMMYFUNCTION("""COMPUTED_VALUE"""),"Home Office")</f>
        <v>Home Office</v>
      </c>
      <c r="E640" s="26" t="str">
        <f>IFERROR(__xludf.DUMMYFUNCTION("""COMPUTED_VALUE"""),"West")</f>
        <v>West</v>
      </c>
      <c r="F640" s="26">
        <f>IFERROR(__xludf.DUMMYFUNCTION("""COMPUTED_VALUE"""),13.848)</f>
        <v>13.848</v>
      </c>
      <c r="G640" s="26">
        <f>IFERROR(__xludf.DUMMYFUNCTION("""COMPUTED_VALUE"""),3.0)</f>
        <v>3</v>
      </c>
      <c r="H640" s="26">
        <f>IFERROR(__xludf.DUMMYFUNCTION("""COMPUTED_VALUE"""),5.193)</f>
        <v>5.193</v>
      </c>
    </row>
    <row r="641">
      <c r="A641" s="26" t="str">
        <f>IFERROR(__xludf.DUMMYFUNCTION("""COMPUTED_VALUE"""),"CA-2015-161242")</f>
        <v>CA-2015-161242</v>
      </c>
      <c r="B641" s="27">
        <f>IFERROR(__xludf.DUMMYFUNCTION("""COMPUTED_VALUE"""),42156.0)</f>
        <v>42156</v>
      </c>
      <c r="C641" s="26" t="str">
        <f>IFERROR(__xludf.DUMMYFUNCTION("""COMPUTED_VALUE"""),"Catherine Glotzbach")</f>
        <v>Catherine Glotzbach</v>
      </c>
      <c r="D641" s="26" t="str">
        <f>IFERROR(__xludf.DUMMYFUNCTION("""COMPUTED_VALUE"""),"Home Office")</f>
        <v>Home Office</v>
      </c>
      <c r="E641" s="26" t="str">
        <f>IFERROR(__xludf.DUMMYFUNCTION("""COMPUTED_VALUE"""),"West")</f>
        <v>West</v>
      </c>
      <c r="F641" s="26">
        <f>IFERROR(__xludf.DUMMYFUNCTION("""COMPUTED_VALUE"""),11.76)</f>
        <v>11.76</v>
      </c>
      <c r="G641" s="26">
        <f>IFERROR(__xludf.DUMMYFUNCTION("""COMPUTED_VALUE"""),2.0)</f>
        <v>2</v>
      </c>
      <c r="H641" s="26">
        <f>IFERROR(__xludf.DUMMYFUNCTION("""COMPUTED_VALUE"""),5.7624)</f>
        <v>5.7624</v>
      </c>
    </row>
    <row r="642">
      <c r="A642" s="26" t="str">
        <f>IFERROR(__xludf.DUMMYFUNCTION("""COMPUTED_VALUE"""),"CA-2015-148495")</f>
        <v>CA-2015-148495</v>
      </c>
      <c r="B642" s="27">
        <f>IFERROR(__xludf.DUMMYFUNCTION("""COMPUTED_VALUE"""),42229.0)</f>
        <v>42229</v>
      </c>
      <c r="C642" s="26" t="str">
        <f>IFERROR(__xludf.DUMMYFUNCTION("""COMPUTED_VALUE"""),"Sandra Flanagan")</f>
        <v>Sandra Flanagan</v>
      </c>
      <c r="D642" s="26" t="str">
        <f>IFERROR(__xludf.DUMMYFUNCTION("""COMPUTED_VALUE"""),"Consumer")</f>
        <v>Consumer</v>
      </c>
      <c r="E642" s="26" t="str">
        <f>IFERROR(__xludf.DUMMYFUNCTION("""COMPUTED_VALUE"""),"West")</f>
        <v>West</v>
      </c>
      <c r="F642" s="26">
        <f>IFERROR(__xludf.DUMMYFUNCTION("""COMPUTED_VALUE"""),31.56)</f>
        <v>31.56</v>
      </c>
      <c r="G642" s="26">
        <f>IFERROR(__xludf.DUMMYFUNCTION("""COMPUTED_VALUE"""),3.0)</f>
        <v>3</v>
      </c>
      <c r="H642" s="26">
        <f>IFERROR(__xludf.DUMMYFUNCTION("""COMPUTED_VALUE"""),10.4148)</f>
        <v>10.4148</v>
      </c>
    </row>
    <row r="643">
      <c r="A643" s="26" t="str">
        <f>IFERROR(__xludf.DUMMYFUNCTION("""COMPUTED_VALUE"""),"CA-2015-149517")</f>
        <v>CA-2015-149517</v>
      </c>
      <c r="B643" s="27">
        <f>IFERROR(__xludf.DUMMYFUNCTION("""COMPUTED_VALUE"""),42266.0)</f>
        <v>42266</v>
      </c>
      <c r="C643" s="26" t="str">
        <f>IFERROR(__xludf.DUMMYFUNCTION("""COMPUTED_VALUE"""),"Frank Carlisle")</f>
        <v>Frank Carlisle</v>
      </c>
      <c r="D643" s="26" t="str">
        <f>IFERROR(__xludf.DUMMYFUNCTION("""COMPUTED_VALUE"""),"Home Office")</f>
        <v>Home Office</v>
      </c>
      <c r="E643" s="26" t="str">
        <f>IFERROR(__xludf.DUMMYFUNCTION("""COMPUTED_VALUE"""),"West")</f>
        <v>West</v>
      </c>
      <c r="F643" s="26">
        <f>IFERROR(__xludf.DUMMYFUNCTION("""COMPUTED_VALUE"""),60.84)</f>
        <v>60.84</v>
      </c>
      <c r="G643" s="26">
        <f>IFERROR(__xludf.DUMMYFUNCTION("""COMPUTED_VALUE"""),3.0)</f>
        <v>3</v>
      </c>
      <c r="H643" s="26">
        <f>IFERROR(__xludf.DUMMYFUNCTION("""COMPUTED_VALUE"""),19.4688)</f>
        <v>19.4688</v>
      </c>
    </row>
    <row r="644">
      <c r="A644" s="26" t="str">
        <f>IFERROR(__xludf.DUMMYFUNCTION("""COMPUTED_VALUE"""),"CA-2015-116841")</f>
        <v>CA-2015-116841</v>
      </c>
      <c r="B644" s="27">
        <f>IFERROR(__xludf.DUMMYFUNCTION("""COMPUTED_VALUE"""),42108.0)</f>
        <v>42108</v>
      </c>
      <c r="C644" s="26" t="str">
        <f>IFERROR(__xludf.DUMMYFUNCTION("""COMPUTED_VALUE"""),"Theone Pippenger")</f>
        <v>Theone Pippenger</v>
      </c>
      <c r="D644" s="26" t="str">
        <f>IFERROR(__xludf.DUMMYFUNCTION("""COMPUTED_VALUE"""),"Consumer")</f>
        <v>Consumer</v>
      </c>
      <c r="E644" s="26" t="str">
        <f>IFERROR(__xludf.DUMMYFUNCTION("""COMPUTED_VALUE"""),"West")</f>
        <v>West</v>
      </c>
      <c r="F644" s="26">
        <f>IFERROR(__xludf.DUMMYFUNCTION("""COMPUTED_VALUE"""),35.208)</f>
        <v>35.208</v>
      </c>
      <c r="G644" s="26">
        <f>IFERROR(__xludf.DUMMYFUNCTION("""COMPUTED_VALUE"""),1.0)</f>
        <v>1</v>
      </c>
      <c r="H644" s="26">
        <f>IFERROR(__xludf.DUMMYFUNCTION("""COMPUTED_VALUE"""),2.6406)</f>
        <v>2.6406</v>
      </c>
    </row>
    <row r="645">
      <c r="A645" s="26" t="str">
        <f>IFERROR(__xludf.DUMMYFUNCTION("""COMPUTED_VALUE"""),"US-2015-120957")</f>
        <v>US-2015-120957</v>
      </c>
      <c r="B645" s="27">
        <f>IFERROR(__xludf.DUMMYFUNCTION("""COMPUTED_VALUE"""),42345.0)</f>
        <v>42345</v>
      </c>
      <c r="C645" s="26" t="str">
        <f>IFERROR(__xludf.DUMMYFUNCTION("""COMPUTED_VALUE"""),"Kristen Hastings")</f>
        <v>Kristen Hastings</v>
      </c>
      <c r="D645" s="26" t="str">
        <f>IFERROR(__xludf.DUMMYFUNCTION("""COMPUTED_VALUE"""),"Corporate")</f>
        <v>Corporate</v>
      </c>
      <c r="E645" s="26" t="str">
        <f>IFERROR(__xludf.DUMMYFUNCTION("""COMPUTED_VALUE"""),"West")</f>
        <v>West</v>
      </c>
      <c r="F645" s="26">
        <f>IFERROR(__xludf.DUMMYFUNCTION("""COMPUTED_VALUE"""),12.96)</f>
        <v>12.96</v>
      </c>
      <c r="G645" s="26">
        <f>IFERROR(__xludf.DUMMYFUNCTION("""COMPUTED_VALUE"""),2.0)</f>
        <v>2</v>
      </c>
      <c r="H645" s="26">
        <f>IFERROR(__xludf.DUMMYFUNCTION("""COMPUTED_VALUE"""),6.2208)</f>
        <v>6.2208</v>
      </c>
    </row>
    <row r="646">
      <c r="A646" s="26" t="str">
        <f>IFERROR(__xludf.DUMMYFUNCTION("""COMPUTED_VALUE"""),"CA-2015-130113")</f>
        <v>CA-2015-130113</v>
      </c>
      <c r="B646" s="27">
        <f>IFERROR(__xludf.DUMMYFUNCTION("""COMPUTED_VALUE"""),42365.0)</f>
        <v>42365</v>
      </c>
      <c r="C646" s="26" t="str">
        <f>IFERROR(__xludf.DUMMYFUNCTION("""COMPUTED_VALUE"""),"Aaron Hawkins")</f>
        <v>Aaron Hawkins</v>
      </c>
      <c r="D646" s="26" t="str">
        <f>IFERROR(__xludf.DUMMYFUNCTION("""COMPUTED_VALUE"""),"Corporate")</f>
        <v>Corporate</v>
      </c>
      <c r="E646" s="26" t="str">
        <f>IFERROR(__xludf.DUMMYFUNCTION("""COMPUTED_VALUE"""),"West")</f>
        <v>West</v>
      </c>
      <c r="F646" s="26">
        <f>IFERROR(__xludf.DUMMYFUNCTION("""COMPUTED_VALUE"""),323.1)</f>
        <v>323.1</v>
      </c>
      <c r="G646" s="26">
        <f>IFERROR(__xludf.DUMMYFUNCTION("""COMPUTED_VALUE"""),2.0)</f>
        <v>2</v>
      </c>
      <c r="H646" s="26">
        <f>IFERROR(__xludf.DUMMYFUNCTION("""COMPUTED_VALUE"""),61.389)</f>
        <v>61.389</v>
      </c>
    </row>
    <row r="647">
      <c r="A647" s="26" t="str">
        <f>IFERROR(__xludf.DUMMYFUNCTION("""COMPUTED_VALUE"""),"CA-2015-164301")</f>
        <v>CA-2015-164301</v>
      </c>
      <c r="B647" s="27">
        <f>IFERROR(__xludf.DUMMYFUNCTION("""COMPUTED_VALUE"""),42089.0)</f>
        <v>42089</v>
      </c>
      <c r="C647" s="26" t="str">
        <f>IFERROR(__xludf.DUMMYFUNCTION("""COMPUTED_VALUE"""),"Ellis Ballard")</f>
        <v>Ellis Ballard</v>
      </c>
      <c r="D647" s="26" t="str">
        <f>IFERROR(__xludf.DUMMYFUNCTION("""COMPUTED_VALUE"""),"Corporate")</f>
        <v>Corporate</v>
      </c>
      <c r="E647" s="26" t="str">
        <f>IFERROR(__xludf.DUMMYFUNCTION("""COMPUTED_VALUE"""),"West")</f>
        <v>West</v>
      </c>
      <c r="F647" s="26">
        <f>IFERROR(__xludf.DUMMYFUNCTION("""COMPUTED_VALUE"""),3393.68)</f>
        <v>3393.68</v>
      </c>
      <c r="G647" s="26">
        <f>IFERROR(__xludf.DUMMYFUNCTION("""COMPUTED_VALUE"""),8.0)</f>
        <v>8</v>
      </c>
      <c r="H647" s="26">
        <f>IFERROR(__xludf.DUMMYFUNCTION("""COMPUTED_VALUE"""),610.8624)</f>
        <v>610.8624</v>
      </c>
    </row>
    <row r="648">
      <c r="A648" s="26" t="str">
        <f>IFERROR(__xludf.DUMMYFUNCTION("""COMPUTED_VALUE"""),"US-2015-129007")</f>
        <v>US-2015-129007</v>
      </c>
      <c r="B648" s="27">
        <f>IFERROR(__xludf.DUMMYFUNCTION("""COMPUTED_VALUE"""),42260.0)</f>
        <v>42260</v>
      </c>
      <c r="C648" s="26" t="str">
        <f>IFERROR(__xludf.DUMMYFUNCTION("""COMPUTED_VALUE"""),"Ken Dana")</f>
        <v>Ken Dana</v>
      </c>
      <c r="D648" s="26" t="str">
        <f>IFERROR(__xludf.DUMMYFUNCTION("""COMPUTED_VALUE"""),"Corporate")</f>
        <v>Corporate</v>
      </c>
      <c r="E648" s="26" t="str">
        <f>IFERROR(__xludf.DUMMYFUNCTION("""COMPUTED_VALUE"""),"West")</f>
        <v>West</v>
      </c>
      <c r="F648" s="26">
        <f>IFERROR(__xludf.DUMMYFUNCTION("""COMPUTED_VALUE"""),131.88)</f>
        <v>131.88</v>
      </c>
      <c r="G648" s="26">
        <f>IFERROR(__xludf.DUMMYFUNCTION("""COMPUTED_VALUE"""),7.0)</f>
        <v>7</v>
      </c>
      <c r="H648" s="26">
        <f>IFERROR(__xludf.DUMMYFUNCTION("""COMPUTED_VALUE"""),55.3896)</f>
        <v>55.3896</v>
      </c>
    </row>
    <row r="649">
      <c r="A649" s="26" t="str">
        <f>IFERROR(__xludf.DUMMYFUNCTION("""COMPUTED_VALUE"""),"CA-2015-132388")</f>
        <v>CA-2015-132388</v>
      </c>
      <c r="B649" s="27">
        <f>IFERROR(__xludf.DUMMYFUNCTION("""COMPUTED_VALUE"""),42287.0)</f>
        <v>42287</v>
      </c>
      <c r="C649" s="26" t="str">
        <f>IFERROR(__xludf.DUMMYFUNCTION("""COMPUTED_VALUE"""),"Katherine Nockton")</f>
        <v>Katherine Nockton</v>
      </c>
      <c r="D649" s="26" t="str">
        <f>IFERROR(__xludf.DUMMYFUNCTION("""COMPUTED_VALUE"""),"Corporate")</f>
        <v>Corporate</v>
      </c>
      <c r="E649" s="26" t="str">
        <f>IFERROR(__xludf.DUMMYFUNCTION("""COMPUTED_VALUE"""),"West")</f>
        <v>West</v>
      </c>
      <c r="F649" s="26">
        <f>IFERROR(__xludf.DUMMYFUNCTION("""COMPUTED_VALUE"""),362.136)</f>
        <v>362.136</v>
      </c>
      <c r="G649" s="26">
        <f>IFERROR(__xludf.DUMMYFUNCTION("""COMPUTED_VALUE"""),3.0)</f>
        <v>3</v>
      </c>
      <c r="H649" s="26">
        <f>IFERROR(__xludf.DUMMYFUNCTION("""COMPUTED_VALUE"""),-54.3204)</f>
        <v>-54.3204</v>
      </c>
    </row>
    <row r="650">
      <c r="A650" s="26" t="str">
        <f>IFERROR(__xludf.DUMMYFUNCTION("""COMPUTED_VALUE"""),"CA-2015-104948")</f>
        <v>CA-2015-104948</v>
      </c>
      <c r="B650" s="27">
        <f>IFERROR(__xludf.DUMMYFUNCTION("""COMPUTED_VALUE"""),42321.0)</f>
        <v>42321</v>
      </c>
      <c r="C650" s="26" t="str">
        <f>IFERROR(__xludf.DUMMYFUNCTION("""COMPUTED_VALUE"""),"Keith Herrera")</f>
        <v>Keith Herrera</v>
      </c>
      <c r="D650" s="26" t="str">
        <f>IFERROR(__xludf.DUMMYFUNCTION("""COMPUTED_VALUE"""),"Consumer")</f>
        <v>Consumer</v>
      </c>
      <c r="E650" s="26" t="str">
        <f>IFERROR(__xludf.DUMMYFUNCTION("""COMPUTED_VALUE"""),"West")</f>
        <v>West</v>
      </c>
      <c r="F650" s="26">
        <f>IFERROR(__xludf.DUMMYFUNCTION("""COMPUTED_VALUE"""),9.872)</f>
        <v>9.872</v>
      </c>
      <c r="G650" s="26">
        <f>IFERROR(__xludf.DUMMYFUNCTION("""COMPUTED_VALUE"""),2.0)</f>
        <v>2</v>
      </c>
      <c r="H650" s="26">
        <f>IFERROR(__xludf.DUMMYFUNCTION("""COMPUTED_VALUE"""),3.4552)</f>
        <v>3.4552</v>
      </c>
    </row>
    <row r="651">
      <c r="A651" s="26" t="str">
        <f>IFERROR(__xludf.DUMMYFUNCTION("""COMPUTED_VALUE"""),"CA-2015-145415")</f>
        <v>CA-2015-145415</v>
      </c>
      <c r="B651" s="27">
        <f>IFERROR(__xludf.DUMMYFUNCTION("""COMPUTED_VALUE"""),42106.0)</f>
        <v>42106</v>
      </c>
      <c r="C651" s="26" t="str">
        <f>IFERROR(__xludf.DUMMYFUNCTION("""COMPUTED_VALUE"""),"Robert Dilbeck")</f>
        <v>Robert Dilbeck</v>
      </c>
      <c r="D651" s="26" t="str">
        <f>IFERROR(__xludf.DUMMYFUNCTION("""COMPUTED_VALUE"""),"Home Office")</f>
        <v>Home Office</v>
      </c>
      <c r="E651" s="26" t="str">
        <f>IFERROR(__xludf.DUMMYFUNCTION("""COMPUTED_VALUE"""),"West")</f>
        <v>West</v>
      </c>
      <c r="F651" s="26">
        <f>IFERROR(__xludf.DUMMYFUNCTION("""COMPUTED_VALUE"""),40.74)</f>
        <v>40.74</v>
      </c>
      <c r="G651" s="26">
        <f>IFERROR(__xludf.DUMMYFUNCTION("""COMPUTED_VALUE"""),3.0)</f>
        <v>3</v>
      </c>
      <c r="H651" s="26">
        <f>IFERROR(__xludf.DUMMYFUNCTION("""COMPUTED_VALUE"""),0.4074)</f>
        <v>0.4074</v>
      </c>
    </row>
    <row r="652">
      <c r="A652" s="26" t="str">
        <f>IFERROR(__xludf.DUMMYFUNCTION("""COMPUTED_VALUE"""),"CA-2015-141593")</f>
        <v>CA-2015-141593</v>
      </c>
      <c r="B652" s="27">
        <f>IFERROR(__xludf.DUMMYFUNCTION("""COMPUTED_VALUE"""),42352.0)</f>
        <v>42352</v>
      </c>
      <c r="C652" s="26" t="str">
        <f>IFERROR(__xludf.DUMMYFUNCTION("""COMPUTED_VALUE"""),"Darren Budd")</f>
        <v>Darren Budd</v>
      </c>
      <c r="D652" s="26" t="str">
        <f>IFERROR(__xludf.DUMMYFUNCTION("""COMPUTED_VALUE"""),"Corporate")</f>
        <v>Corporate</v>
      </c>
      <c r="E652" s="26" t="str">
        <f>IFERROR(__xludf.DUMMYFUNCTION("""COMPUTED_VALUE"""),"West")</f>
        <v>West</v>
      </c>
      <c r="F652" s="26">
        <f>IFERROR(__xludf.DUMMYFUNCTION("""COMPUTED_VALUE"""),55.264)</f>
        <v>55.264</v>
      </c>
      <c r="G652" s="26">
        <f>IFERROR(__xludf.DUMMYFUNCTION("""COMPUTED_VALUE"""),2.0)</f>
        <v>2</v>
      </c>
      <c r="H652" s="26">
        <f>IFERROR(__xludf.DUMMYFUNCTION("""COMPUTED_VALUE"""),20.724)</f>
        <v>20.724</v>
      </c>
    </row>
    <row r="653">
      <c r="A653" s="26" t="str">
        <f>IFERROR(__xludf.DUMMYFUNCTION("""COMPUTED_VALUE"""),"CA-2014-115259")</f>
        <v>CA-2014-115259</v>
      </c>
      <c r="B653" s="27">
        <f>IFERROR(__xludf.DUMMYFUNCTION("""COMPUTED_VALUE"""),41876.0)</f>
        <v>41876</v>
      </c>
      <c r="C653" s="26" t="str">
        <f>IFERROR(__xludf.DUMMYFUNCTION("""COMPUTED_VALUE"""),"Consumer")</f>
        <v>Consumer</v>
      </c>
      <c r="D653" s="26" t="str">
        <f>IFERROR(__xludf.DUMMYFUNCTION("""COMPUTED_VALUE"""),"Ohio")</f>
        <v>Ohio</v>
      </c>
      <c r="E653" s="26" t="str">
        <f>IFERROR(__xludf.DUMMYFUNCTION("""COMPUTED_VALUE"""),"East")</f>
        <v>East</v>
      </c>
      <c r="F653" s="26">
        <f>IFERROR(__xludf.DUMMYFUNCTION("""COMPUTED_VALUE"""),40.096)</f>
        <v>40.096</v>
      </c>
      <c r="G653" s="26">
        <f>IFERROR(__xludf.DUMMYFUNCTION("""COMPUTED_VALUE"""),14.0)</f>
        <v>14</v>
      </c>
      <c r="H653" s="26">
        <f>IFERROR(__xludf.DUMMYFUNCTION("""COMPUTED_VALUE"""),14.5348)</f>
        <v>14.5348</v>
      </c>
    </row>
    <row r="654">
      <c r="A654" s="26" t="str">
        <f>IFERROR(__xludf.DUMMYFUNCTION("""COMPUTED_VALUE"""),"CA-2014-110072")</f>
        <v>CA-2014-110072</v>
      </c>
      <c r="B654" s="29">
        <f>IFERROR(__xludf.DUMMYFUNCTION("""COMPUTED_VALUE"""),41934.0)</f>
        <v>41934</v>
      </c>
      <c r="C654" s="26" t="str">
        <f>IFERROR(__xludf.DUMMYFUNCTION("""COMPUTED_VALUE"""),"Home Office")</f>
        <v>Home Office</v>
      </c>
      <c r="D654" s="26" t="str">
        <f>IFERROR(__xludf.DUMMYFUNCTION("""COMPUTED_VALUE"""),"Ohio")</f>
        <v>Ohio</v>
      </c>
      <c r="E654" s="26" t="str">
        <f>IFERROR(__xludf.DUMMYFUNCTION("""COMPUTED_VALUE"""),"East")</f>
        <v>East</v>
      </c>
      <c r="F654" s="26">
        <f>IFERROR(__xludf.DUMMYFUNCTION("""COMPUTED_VALUE"""),93.888)</f>
        <v>93.888</v>
      </c>
      <c r="G654" s="26">
        <f>IFERROR(__xludf.DUMMYFUNCTION("""COMPUTED_VALUE"""),4.0)</f>
        <v>4</v>
      </c>
      <c r="H654" s="26">
        <f>IFERROR(__xludf.DUMMYFUNCTION("""COMPUTED_VALUE"""),12.9096)</f>
        <v>12.9096</v>
      </c>
    </row>
    <row r="655">
      <c r="A655" s="26" t="str">
        <f>IFERROR(__xludf.DUMMYFUNCTION("""COMPUTED_VALUE"""),"CA-2014-140004")</f>
        <v>CA-2014-140004</v>
      </c>
      <c r="B655" s="27">
        <f>IFERROR(__xludf.DUMMYFUNCTION("""COMPUTED_VALUE"""),41719.0)</f>
        <v>41719</v>
      </c>
      <c r="C655" s="26" t="str">
        <f>IFERROR(__xludf.DUMMYFUNCTION("""COMPUTED_VALUE"""),"Consumer")</f>
        <v>Consumer</v>
      </c>
      <c r="D655" s="26" t="str">
        <f>IFERROR(__xludf.DUMMYFUNCTION("""COMPUTED_VALUE"""),"Ohio")</f>
        <v>Ohio</v>
      </c>
      <c r="E655" s="26" t="str">
        <f>IFERROR(__xludf.DUMMYFUNCTION("""COMPUTED_VALUE"""),"East")</f>
        <v>East</v>
      </c>
      <c r="F655" s="26">
        <f>IFERROR(__xludf.DUMMYFUNCTION("""COMPUTED_VALUE"""),7.408)</f>
        <v>7.408</v>
      </c>
      <c r="G655" s="26">
        <f>IFERROR(__xludf.DUMMYFUNCTION("""COMPUTED_VALUE"""),2.0)</f>
        <v>2</v>
      </c>
      <c r="H655" s="26">
        <f>IFERROR(__xludf.DUMMYFUNCTION("""COMPUTED_VALUE"""),1.2038)</f>
        <v>1.2038</v>
      </c>
    </row>
    <row r="656">
      <c r="A656" s="26" t="str">
        <f>IFERROR(__xludf.DUMMYFUNCTION("""COMPUTED_VALUE"""),"CA-2014-111003")</f>
        <v>CA-2014-111003</v>
      </c>
      <c r="B656" s="27">
        <f>IFERROR(__xludf.DUMMYFUNCTION("""COMPUTED_VALUE"""),41791.0)</f>
        <v>41791</v>
      </c>
      <c r="C656" s="26" t="str">
        <f>IFERROR(__xludf.DUMMYFUNCTION("""COMPUTED_VALUE"""),"Home Office")</f>
        <v>Home Office</v>
      </c>
      <c r="D656" s="26" t="str">
        <f>IFERROR(__xludf.DUMMYFUNCTION("""COMPUTED_VALUE"""),"New Jersey")</f>
        <v>New Jersey</v>
      </c>
      <c r="E656" s="26" t="str">
        <f>IFERROR(__xludf.DUMMYFUNCTION("""COMPUTED_VALUE"""),"East")</f>
        <v>East</v>
      </c>
      <c r="F656" s="26">
        <f>IFERROR(__xludf.DUMMYFUNCTION("""COMPUTED_VALUE"""),45.48)</f>
        <v>45.48</v>
      </c>
      <c r="G656" s="26">
        <f>IFERROR(__xludf.DUMMYFUNCTION("""COMPUTED_VALUE"""),3.0)</f>
        <v>3</v>
      </c>
      <c r="H656" s="26">
        <f>IFERROR(__xludf.DUMMYFUNCTION("""COMPUTED_VALUE"""),20.9208)</f>
        <v>20.9208</v>
      </c>
    </row>
    <row r="657">
      <c r="A657" s="26" t="str">
        <f>IFERROR(__xludf.DUMMYFUNCTION("""COMPUTED_VALUE"""),"CA-2014-120887")</f>
        <v>CA-2014-120887</v>
      </c>
      <c r="B657" s="27">
        <f>IFERROR(__xludf.DUMMYFUNCTION("""COMPUTED_VALUE"""),41909.0)</f>
        <v>41909</v>
      </c>
      <c r="C657" s="26" t="str">
        <f>IFERROR(__xludf.DUMMYFUNCTION("""COMPUTED_VALUE"""),"Corporate")</f>
        <v>Corporate</v>
      </c>
      <c r="D657" s="26" t="str">
        <f>IFERROR(__xludf.DUMMYFUNCTION("""COMPUTED_VALUE"""),"New Jersey")</f>
        <v>New Jersey</v>
      </c>
      <c r="E657" s="26" t="str">
        <f>IFERROR(__xludf.DUMMYFUNCTION("""COMPUTED_VALUE"""),"East")</f>
        <v>East</v>
      </c>
      <c r="F657" s="26">
        <f>IFERROR(__xludf.DUMMYFUNCTION("""COMPUTED_VALUE"""),87.54)</f>
        <v>87.54</v>
      </c>
      <c r="G657" s="26">
        <f>IFERROR(__xludf.DUMMYFUNCTION("""COMPUTED_VALUE"""),3.0)</f>
        <v>3</v>
      </c>
      <c r="H657" s="26">
        <f>IFERROR(__xludf.DUMMYFUNCTION("""COMPUTED_VALUE"""),37.6422)</f>
        <v>37.6422</v>
      </c>
    </row>
    <row r="658">
      <c r="A658" s="26" t="str">
        <f>IFERROR(__xludf.DUMMYFUNCTION("""COMPUTED_VALUE"""),"CA-2014-164259")</f>
        <v>CA-2014-164259</v>
      </c>
      <c r="B658" s="29">
        <f>IFERROR(__xludf.DUMMYFUNCTION("""COMPUTED_VALUE"""),42001.0)</f>
        <v>42001</v>
      </c>
      <c r="C658" s="26" t="str">
        <f>IFERROR(__xludf.DUMMYFUNCTION("""COMPUTED_VALUE"""),"Corporate")</f>
        <v>Corporate</v>
      </c>
      <c r="D658" s="26" t="str">
        <f>IFERROR(__xludf.DUMMYFUNCTION("""COMPUTED_VALUE"""),"Pennsylvania")</f>
        <v>Pennsylvania</v>
      </c>
      <c r="E658" s="26" t="str">
        <f>IFERROR(__xludf.DUMMYFUNCTION("""COMPUTED_VALUE"""),"East")</f>
        <v>East</v>
      </c>
      <c r="F658" s="26">
        <f>IFERROR(__xludf.DUMMYFUNCTION("""COMPUTED_VALUE"""),99.136)</f>
        <v>99.136</v>
      </c>
      <c r="G658" s="26">
        <f>IFERROR(__xludf.DUMMYFUNCTION("""COMPUTED_VALUE"""),4.0)</f>
        <v>4</v>
      </c>
      <c r="H658" s="26">
        <f>IFERROR(__xludf.DUMMYFUNCTION("""COMPUTED_VALUE"""),8.6744)</f>
        <v>8.6744</v>
      </c>
    </row>
    <row r="659">
      <c r="A659" s="26" t="str">
        <f>IFERROR(__xludf.DUMMYFUNCTION("""COMPUTED_VALUE"""),"CA-2014-164973")</f>
        <v>CA-2014-164973</v>
      </c>
      <c r="B659" s="27">
        <f>IFERROR(__xludf.DUMMYFUNCTION("""COMPUTED_VALUE"""),41947.0)</f>
        <v>41947</v>
      </c>
      <c r="C659" s="26" t="str">
        <f>IFERROR(__xludf.DUMMYFUNCTION("""COMPUTED_VALUE"""),"Home Office")</f>
        <v>Home Office</v>
      </c>
      <c r="D659" s="26" t="str">
        <f>IFERROR(__xludf.DUMMYFUNCTION("""COMPUTED_VALUE"""),"New York")</f>
        <v>New York</v>
      </c>
      <c r="E659" s="26" t="str">
        <f>IFERROR(__xludf.DUMMYFUNCTION("""COMPUTED_VALUE"""),"East")</f>
        <v>East</v>
      </c>
      <c r="F659" s="26">
        <f>IFERROR(__xludf.DUMMYFUNCTION("""COMPUTED_VALUE"""),135.882)</f>
        <v>135.882</v>
      </c>
      <c r="G659" s="26">
        <f>IFERROR(__xludf.DUMMYFUNCTION("""COMPUTED_VALUE"""),1.0)</f>
        <v>1</v>
      </c>
      <c r="H659" s="26">
        <f>IFERROR(__xludf.DUMMYFUNCTION("""COMPUTED_VALUE"""),24.1568)</f>
        <v>24.1568</v>
      </c>
    </row>
    <row r="660">
      <c r="A660" s="26" t="str">
        <f>IFERROR(__xludf.DUMMYFUNCTION("""COMPUTED_VALUE"""),"CA-2014-122336")</f>
        <v>CA-2014-122336</v>
      </c>
      <c r="B660" s="27">
        <f>IFERROR(__xludf.DUMMYFUNCTION("""COMPUTED_VALUE"""),41742.0)</f>
        <v>41742</v>
      </c>
      <c r="C660" s="26" t="str">
        <f>IFERROR(__xludf.DUMMYFUNCTION("""COMPUTED_VALUE"""),"Corporate")</f>
        <v>Corporate</v>
      </c>
      <c r="D660" s="26" t="str">
        <f>IFERROR(__xludf.DUMMYFUNCTION("""COMPUTED_VALUE"""),"Pennsylvania")</f>
        <v>Pennsylvania</v>
      </c>
      <c r="E660" s="26" t="str">
        <f>IFERROR(__xludf.DUMMYFUNCTION("""COMPUTED_VALUE"""),"East")</f>
        <v>East</v>
      </c>
      <c r="F660" s="26">
        <f>IFERROR(__xludf.DUMMYFUNCTION("""COMPUTED_VALUE"""),17.856)</f>
        <v>17.856</v>
      </c>
      <c r="G660" s="26">
        <f>IFERROR(__xludf.DUMMYFUNCTION("""COMPUTED_VALUE"""),4.0)</f>
        <v>4</v>
      </c>
      <c r="H660" s="26">
        <f>IFERROR(__xludf.DUMMYFUNCTION("""COMPUTED_VALUE"""),1.116)</f>
        <v>1.116</v>
      </c>
    </row>
    <row r="661">
      <c r="A661" s="26" t="str">
        <f>IFERROR(__xludf.DUMMYFUNCTION("""COMPUTED_VALUE"""),"CA-2014-115973")</f>
        <v>CA-2014-115973</v>
      </c>
      <c r="B661" s="29">
        <f>IFERROR(__xludf.DUMMYFUNCTION("""COMPUTED_VALUE"""),41967.0)</f>
        <v>41967</v>
      </c>
      <c r="C661" s="26" t="str">
        <f>IFERROR(__xludf.DUMMYFUNCTION("""COMPUTED_VALUE"""),"Consumer")</f>
        <v>Consumer</v>
      </c>
      <c r="D661" s="26" t="str">
        <f>IFERROR(__xludf.DUMMYFUNCTION("""COMPUTED_VALUE"""),"Ohio")</f>
        <v>Ohio</v>
      </c>
      <c r="E661" s="26" t="str">
        <f>IFERROR(__xludf.DUMMYFUNCTION("""COMPUTED_VALUE"""),"East")</f>
        <v>East</v>
      </c>
      <c r="F661" s="26">
        <f>IFERROR(__xludf.DUMMYFUNCTION("""COMPUTED_VALUE"""),2.624)</f>
        <v>2.624</v>
      </c>
      <c r="G661" s="26">
        <f>IFERROR(__xludf.DUMMYFUNCTION("""COMPUTED_VALUE"""),1.0)</f>
        <v>1</v>
      </c>
      <c r="H661" s="26">
        <f>IFERROR(__xludf.DUMMYFUNCTION("""COMPUTED_VALUE"""),0.4264)</f>
        <v>0.4264</v>
      </c>
    </row>
    <row r="662">
      <c r="A662" s="26" t="str">
        <f>IFERROR(__xludf.DUMMYFUNCTION("""COMPUTED_VALUE"""),"CA-2014-101476")</f>
        <v>CA-2014-101476</v>
      </c>
      <c r="B662" s="27">
        <f>IFERROR(__xludf.DUMMYFUNCTION("""COMPUTED_VALUE"""),41894.0)</f>
        <v>41894</v>
      </c>
      <c r="C662" s="26" t="str">
        <f>IFERROR(__xludf.DUMMYFUNCTION("""COMPUTED_VALUE"""),"Home Office")</f>
        <v>Home Office</v>
      </c>
      <c r="D662" s="26" t="str">
        <f>IFERROR(__xludf.DUMMYFUNCTION("""COMPUTED_VALUE"""),"New York")</f>
        <v>New York</v>
      </c>
      <c r="E662" s="26" t="str">
        <f>IFERROR(__xludf.DUMMYFUNCTION("""COMPUTED_VALUE"""),"East")</f>
        <v>East</v>
      </c>
      <c r="F662" s="26">
        <f>IFERROR(__xludf.DUMMYFUNCTION("""COMPUTED_VALUE"""),69.99)</f>
        <v>69.99</v>
      </c>
      <c r="G662" s="26">
        <f>IFERROR(__xludf.DUMMYFUNCTION("""COMPUTED_VALUE"""),1.0)</f>
        <v>1</v>
      </c>
      <c r="H662" s="26">
        <f>IFERROR(__xludf.DUMMYFUNCTION("""COMPUTED_VALUE"""),30.0957)</f>
        <v>30.0957</v>
      </c>
    </row>
    <row r="663">
      <c r="A663" s="26" t="str">
        <f>IFERROR(__xludf.DUMMYFUNCTION("""COMPUTED_VALUE"""),"CA-2014-127691")</f>
        <v>CA-2014-127691</v>
      </c>
      <c r="B663" s="27">
        <f>IFERROR(__xludf.DUMMYFUNCTION("""COMPUTED_VALUE"""),41842.0)</f>
        <v>41842</v>
      </c>
      <c r="C663" s="26" t="str">
        <f>IFERROR(__xludf.DUMMYFUNCTION("""COMPUTED_VALUE"""),"Consumer")</f>
        <v>Consumer</v>
      </c>
      <c r="D663" s="26" t="str">
        <f>IFERROR(__xludf.DUMMYFUNCTION("""COMPUTED_VALUE"""),"New York")</f>
        <v>New York</v>
      </c>
      <c r="E663" s="26" t="str">
        <f>IFERROR(__xludf.DUMMYFUNCTION("""COMPUTED_VALUE"""),"East")</f>
        <v>East</v>
      </c>
      <c r="F663" s="26">
        <f>IFERROR(__xludf.DUMMYFUNCTION("""COMPUTED_VALUE"""),5.96)</f>
        <v>5.96</v>
      </c>
      <c r="G663" s="26">
        <f>IFERROR(__xludf.DUMMYFUNCTION("""COMPUTED_VALUE"""),2.0)</f>
        <v>2</v>
      </c>
      <c r="H663" s="26">
        <f>IFERROR(__xludf.DUMMYFUNCTION("""COMPUTED_VALUE"""),1.6688)</f>
        <v>1.6688</v>
      </c>
    </row>
    <row r="664">
      <c r="A664" s="26" t="str">
        <f>IFERROR(__xludf.DUMMYFUNCTION("""COMPUTED_VALUE"""),"CA-2014-113362")</f>
        <v>CA-2014-113362</v>
      </c>
      <c r="B664" s="27">
        <f>IFERROR(__xludf.DUMMYFUNCTION("""COMPUTED_VALUE"""),41896.0)</f>
        <v>41896</v>
      </c>
      <c r="C664" s="26" t="str">
        <f>IFERROR(__xludf.DUMMYFUNCTION("""COMPUTED_VALUE"""),"Consumer")</f>
        <v>Consumer</v>
      </c>
      <c r="D664" s="26" t="str">
        <f>IFERROR(__xludf.DUMMYFUNCTION("""COMPUTED_VALUE"""),"New York")</f>
        <v>New York</v>
      </c>
      <c r="E664" s="26" t="str">
        <f>IFERROR(__xludf.DUMMYFUNCTION("""COMPUTED_VALUE"""),"East")</f>
        <v>East</v>
      </c>
      <c r="F664" s="26">
        <f>IFERROR(__xludf.DUMMYFUNCTION("""COMPUTED_VALUE"""),449.15)</f>
        <v>449.15</v>
      </c>
      <c r="G664" s="26">
        <f>IFERROR(__xludf.DUMMYFUNCTION("""COMPUTED_VALUE"""),5.0)</f>
        <v>5</v>
      </c>
      <c r="H664" s="26">
        <f>IFERROR(__xludf.DUMMYFUNCTION("""COMPUTED_VALUE"""),8.983)</f>
        <v>8.983</v>
      </c>
    </row>
    <row r="665">
      <c r="A665" s="26" t="str">
        <f>IFERROR(__xludf.DUMMYFUNCTION("""COMPUTED_VALUE"""),"US-2014-105767")</f>
        <v>US-2014-105767</v>
      </c>
      <c r="B665" s="27">
        <f>IFERROR(__xludf.DUMMYFUNCTION("""COMPUTED_VALUE"""),41782.0)</f>
        <v>41782</v>
      </c>
      <c r="C665" s="26" t="str">
        <f>IFERROR(__xludf.DUMMYFUNCTION("""COMPUTED_VALUE"""),"Consumer")</f>
        <v>Consumer</v>
      </c>
      <c r="D665" s="26" t="str">
        <f>IFERROR(__xludf.DUMMYFUNCTION("""COMPUTED_VALUE"""),"Pennsylvania")</f>
        <v>Pennsylvania</v>
      </c>
      <c r="E665" s="26" t="str">
        <f>IFERROR(__xludf.DUMMYFUNCTION("""COMPUTED_VALUE"""),"East")</f>
        <v>East</v>
      </c>
      <c r="F665" s="26">
        <f>IFERROR(__xludf.DUMMYFUNCTION("""COMPUTED_VALUE"""),3.282)</f>
        <v>3.282</v>
      </c>
      <c r="G665" s="26">
        <f>IFERROR(__xludf.DUMMYFUNCTION("""COMPUTED_VALUE"""),2.0)</f>
        <v>2</v>
      </c>
      <c r="H665" s="26">
        <f>IFERROR(__xludf.DUMMYFUNCTION("""COMPUTED_VALUE"""),-2.6256)</f>
        <v>-2.6256</v>
      </c>
    </row>
    <row r="666">
      <c r="A666" s="26" t="str">
        <f>IFERROR(__xludf.DUMMYFUNCTION("""COMPUTED_VALUE"""),"CA-2014-156314")</f>
        <v>CA-2014-156314</v>
      </c>
      <c r="B666" s="29">
        <f>IFERROR(__xludf.DUMMYFUNCTION("""COMPUTED_VALUE"""),41997.0)</f>
        <v>41997</v>
      </c>
      <c r="C666" s="26" t="str">
        <f>IFERROR(__xludf.DUMMYFUNCTION("""COMPUTED_VALUE"""),"Consumer")</f>
        <v>Consumer</v>
      </c>
      <c r="D666" s="26" t="str">
        <f>IFERROR(__xludf.DUMMYFUNCTION("""COMPUTED_VALUE"""),"Ohio")</f>
        <v>Ohio</v>
      </c>
      <c r="E666" s="26" t="str">
        <f>IFERROR(__xludf.DUMMYFUNCTION("""COMPUTED_VALUE"""),"East")</f>
        <v>East</v>
      </c>
      <c r="F666" s="26">
        <f>IFERROR(__xludf.DUMMYFUNCTION("""COMPUTED_VALUE"""),30.36)</f>
        <v>30.36</v>
      </c>
      <c r="G666" s="26">
        <f>IFERROR(__xludf.DUMMYFUNCTION("""COMPUTED_VALUE"""),5.0)</f>
        <v>5</v>
      </c>
      <c r="H666" s="26">
        <f>IFERROR(__xludf.DUMMYFUNCTION("""COMPUTED_VALUE"""),8.7285)</f>
        <v>8.7285</v>
      </c>
    </row>
    <row r="667">
      <c r="A667" s="26" t="str">
        <f>IFERROR(__xludf.DUMMYFUNCTION("""COMPUTED_VALUE"""),"CA-2014-112158")</f>
        <v>CA-2014-112158</v>
      </c>
      <c r="B667" s="27">
        <f>IFERROR(__xludf.DUMMYFUNCTION("""COMPUTED_VALUE"""),41975.0)</f>
        <v>41975</v>
      </c>
      <c r="C667" s="26" t="str">
        <f>IFERROR(__xludf.DUMMYFUNCTION("""COMPUTED_VALUE"""),"Consumer")</f>
        <v>Consumer</v>
      </c>
      <c r="D667" s="26" t="str">
        <f>IFERROR(__xludf.DUMMYFUNCTION("""COMPUTED_VALUE"""),"New York")</f>
        <v>New York</v>
      </c>
      <c r="E667" s="26" t="str">
        <f>IFERROR(__xludf.DUMMYFUNCTION("""COMPUTED_VALUE"""),"East")</f>
        <v>East</v>
      </c>
      <c r="F667" s="26">
        <f>IFERROR(__xludf.DUMMYFUNCTION("""COMPUTED_VALUE"""),119.96)</f>
        <v>119.96</v>
      </c>
      <c r="G667" s="26">
        <f>IFERROR(__xludf.DUMMYFUNCTION("""COMPUTED_VALUE"""),4.0)</f>
        <v>4</v>
      </c>
      <c r="H667" s="26">
        <f>IFERROR(__xludf.DUMMYFUNCTION("""COMPUTED_VALUE"""),52.7824)</f>
        <v>52.7824</v>
      </c>
    </row>
    <row r="668">
      <c r="A668" s="26" t="str">
        <f>IFERROR(__xludf.DUMMYFUNCTION("""COMPUTED_VALUE"""),"CA-2014-113887")</f>
        <v>CA-2014-113887</v>
      </c>
      <c r="B668" s="27">
        <f>IFERROR(__xludf.DUMMYFUNCTION("""COMPUTED_VALUE"""),41734.0)</f>
        <v>41734</v>
      </c>
      <c r="C668" s="26" t="str">
        <f>IFERROR(__xludf.DUMMYFUNCTION("""COMPUTED_VALUE"""),"Home Office")</f>
        <v>Home Office</v>
      </c>
      <c r="D668" s="26" t="str">
        <f>IFERROR(__xludf.DUMMYFUNCTION("""COMPUTED_VALUE"""),"New York")</f>
        <v>New York</v>
      </c>
      <c r="E668" s="26" t="str">
        <f>IFERROR(__xludf.DUMMYFUNCTION("""COMPUTED_VALUE"""),"East")</f>
        <v>East</v>
      </c>
      <c r="F668" s="26">
        <f>IFERROR(__xludf.DUMMYFUNCTION("""COMPUTED_VALUE"""),55.48)</f>
        <v>55.48</v>
      </c>
      <c r="G668" s="26">
        <f>IFERROR(__xludf.DUMMYFUNCTION("""COMPUTED_VALUE"""),1.0)</f>
        <v>1</v>
      </c>
      <c r="H668" s="26">
        <f>IFERROR(__xludf.DUMMYFUNCTION("""COMPUTED_VALUE"""),26.6304)</f>
        <v>26.6304</v>
      </c>
    </row>
    <row r="669">
      <c r="A669" s="26" t="str">
        <f>IFERROR(__xludf.DUMMYFUNCTION("""COMPUTED_VALUE"""),"CA-2014-130092")</f>
        <v>CA-2014-130092</v>
      </c>
      <c r="B669" s="27">
        <f>IFERROR(__xludf.DUMMYFUNCTION("""COMPUTED_VALUE"""),41650.0)</f>
        <v>41650</v>
      </c>
      <c r="C669" s="26" t="str">
        <f>IFERROR(__xludf.DUMMYFUNCTION("""COMPUTED_VALUE"""),"Consumer")</f>
        <v>Consumer</v>
      </c>
      <c r="D669" s="26" t="str">
        <f>IFERROR(__xludf.DUMMYFUNCTION("""COMPUTED_VALUE"""),"Delaware")</f>
        <v>Delaware</v>
      </c>
      <c r="E669" s="26" t="str">
        <f>IFERROR(__xludf.DUMMYFUNCTION("""COMPUTED_VALUE"""),"East")</f>
        <v>East</v>
      </c>
      <c r="F669" s="26">
        <f>IFERROR(__xludf.DUMMYFUNCTION("""COMPUTED_VALUE"""),9.94)</f>
        <v>9.94</v>
      </c>
      <c r="G669" s="26">
        <f>IFERROR(__xludf.DUMMYFUNCTION("""COMPUTED_VALUE"""),2.0)</f>
        <v>2</v>
      </c>
      <c r="H669" s="26">
        <f>IFERROR(__xludf.DUMMYFUNCTION("""COMPUTED_VALUE"""),3.0814)</f>
        <v>3.0814</v>
      </c>
    </row>
    <row r="670">
      <c r="A670" s="26" t="str">
        <f>IFERROR(__xludf.DUMMYFUNCTION("""COMPUTED_VALUE"""),"CA-2014-117429")</f>
        <v>CA-2014-117429</v>
      </c>
      <c r="B670" s="27">
        <f>IFERROR(__xludf.DUMMYFUNCTION("""COMPUTED_VALUE"""),41919.0)</f>
        <v>41919</v>
      </c>
      <c r="C670" s="26" t="str">
        <f>IFERROR(__xludf.DUMMYFUNCTION("""COMPUTED_VALUE"""),"Home Office")</f>
        <v>Home Office</v>
      </c>
      <c r="D670" s="26" t="str">
        <f>IFERROR(__xludf.DUMMYFUNCTION("""COMPUTED_VALUE"""),"Pennsylvania")</f>
        <v>Pennsylvania</v>
      </c>
      <c r="E670" s="26" t="str">
        <f>IFERROR(__xludf.DUMMYFUNCTION("""COMPUTED_VALUE"""),"East")</f>
        <v>East</v>
      </c>
      <c r="F670" s="26">
        <f>IFERROR(__xludf.DUMMYFUNCTION("""COMPUTED_VALUE"""),129.92)</f>
        <v>129.92</v>
      </c>
      <c r="G670" s="26">
        <f>IFERROR(__xludf.DUMMYFUNCTION("""COMPUTED_VALUE"""),5.0)</f>
        <v>5</v>
      </c>
      <c r="H670" s="26">
        <f>IFERROR(__xludf.DUMMYFUNCTION("""COMPUTED_VALUE"""),21.112)</f>
        <v>21.112</v>
      </c>
    </row>
    <row r="671">
      <c r="A671" s="26" t="str">
        <f>IFERROR(__xludf.DUMMYFUNCTION("""COMPUTED_VALUE"""),"CA-2014-165974")</f>
        <v>CA-2014-165974</v>
      </c>
      <c r="B671" s="27">
        <f>IFERROR(__xludf.DUMMYFUNCTION("""COMPUTED_VALUE"""),41819.0)</f>
        <v>41819</v>
      </c>
      <c r="C671" s="26" t="str">
        <f>IFERROR(__xludf.DUMMYFUNCTION("""COMPUTED_VALUE"""),"Consumer")</f>
        <v>Consumer</v>
      </c>
      <c r="D671" s="26" t="str">
        <f>IFERROR(__xludf.DUMMYFUNCTION("""COMPUTED_VALUE"""),"Ohio")</f>
        <v>Ohio</v>
      </c>
      <c r="E671" s="26" t="str">
        <f>IFERROR(__xludf.DUMMYFUNCTION("""COMPUTED_VALUE"""),"East")</f>
        <v>East</v>
      </c>
      <c r="F671" s="26">
        <f>IFERROR(__xludf.DUMMYFUNCTION("""COMPUTED_VALUE"""),32.76)</f>
        <v>32.76</v>
      </c>
      <c r="G671" s="26">
        <f>IFERROR(__xludf.DUMMYFUNCTION("""COMPUTED_VALUE"""),7.0)</f>
        <v>7</v>
      </c>
      <c r="H671" s="26">
        <f>IFERROR(__xludf.DUMMYFUNCTION("""COMPUTED_VALUE"""),3.6855)</f>
        <v>3.6855</v>
      </c>
    </row>
    <row r="672">
      <c r="A672" s="26" t="str">
        <f>IFERROR(__xludf.DUMMYFUNCTION("""COMPUTED_VALUE"""),"CA-2014-140858")</f>
        <v>CA-2014-140858</v>
      </c>
      <c r="B672" s="27">
        <f>IFERROR(__xludf.DUMMYFUNCTION("""COMPUTED_VALUE"""),41818.0)</f>
        <v>41818</v>
      </c>
      <c r="C672" s="26" t="str">
        <f>IFERROR(__xludf.DUMMYFUNCTION("""COMPUTED_VALUE"""),"Consumer")</f>
        <v>Consumer</v>
      </c>
      <c r="D672" s="26" t="str">
        <f>IFERROR(__xludf.DUMMYFUNCTION("""COMPUTED_VALUE"""),"Pennsylvania")</f>
        <v>Pennsylvania</v>
      </c>
      <c r="E672" s="26" t="str">
        <f>IFERROR(__xludf.DUMMYFUNCTION("""COMPUTED_VALUE"""),"East")</f>
        <v>East</v>
      </c>
      <c r="F672" s="26">
        <f>IFERROR(__xludf.DUMMYFUNCTION("""COMPUTED_VALUE"""),41.472)</f>
        <v>41.472</v>
      </c>
      <c r="G672" s="26">
        <f>IFERROR(__xludf.DUMMYFUNCTION("""COMPUTED_VALUE"""),8.0)</f>
        <v>8</v>
      </c>
      <c r="H672" s="26">
        <f>IFERROR(__xludf.DUMMYFUNCTION("""COMPUTED_VALUE"""),14.5152)</f>
        <v>14.5152</v>
      </c>
    </row>
    <row r="673">
      <c r="A673" s="26" t="str">
        <f>IFERROR(__xludf.DUMMYFUNCTION("""COMPUTED_VALUE"""),"CA-2014-107755")</f>
        <v>CA-2014-107755</v>
      </c>
      <c r="B673" s="27">
        <f>IFERROR(__xludf.DUMMYFUNCTION("""COMPUTED_VALUE"""),41677.0)</f>
        <v>41677</v>
      </c>
      <c r="C673" s="26" t="str">
        <f>IFERROR(__xludf.DUMMYFUNCTION("""COMPUTED_VALUE"""),"Corporate")</f>
        <v>Corporate</v>
      </c>
      <c r="D673" s="26" t="str">
        <f>IFERROR(__xludf.DUMMYFUNCTION("""COMPUTED_VALUE"""),"New Jersey")</f>
        <v>New Jersey</v>
      </c>
      <c r="E673" s="26" t="str">
        <f>IFERROR(__xludf.DUMMYFUNCTION("""COMPUTED_VALUE"""),"East")</f>
        <v>East</v>
      </c>
      <c r="F673" s="26">
        <f>IFERROR(__xludf.DUMMYFUNCTION("""COMPUTED_VALUE"""),115.36)</f>
        <v>115.36</v>
      </c>
      <c r="G673" s="26">
        <f>IFERROR(__xludf.DUMMYFUNCTION("""COMPUTED_VALUE"""),7.0)</f>
        <v>7</v>
      </c>
      <c r="H673" s="26">
        <f>IFERROR(__xludf.DUMMYFUNCTION("""COMPUTED_VALUE"""),49.6048)</f>
        <v>49.6048</v>
      </c>
    </row>
    <row r="674">
      <c r="A674" s="26" t="str">
        <f>IFERROR(__xludf.DUMMYFUNCTION("""COMPUTED_VALUE"""),"CA-2014-125612")</f>
        <v>CA-2014-125612</v>
      </c>
      <c r="B674" s="27">
        <f>IFERROR(__xludf.DUMMYFUNCTION("""COMPUTED_VALUE"""),41854.0)</f>
        <v>41854</v>
      </c>
      <c r="C674" s="26" t="str">
        <f>IFERROR(__xludf.DUMMYFUNCTION("""COMPUTED_VALUE"""),"Consumer")</f>
        <v>Consumer</v>
      </c>
      <c r="D674" s="26" t="str">
        <f>IFERROR(__xludf.DUMMYFUNCTION("""COMPUTED_VALUE"""),"New York")</f>
        <v>New York</v>
      </c>
      <c r="E674" s="26" t="str">
        <f>IFERROR(__xludf.DUMMYFUNCTION("""COMPUTED_VALUE"""),"East")</f>
        <v>East</v>
      </c>
      <c r="F674" s="26">
        <f>IFERROR(__xludf.DUMMYFUNCTION("""COMPUTED_VALUE"""),39.96)</f>
        <v>39.96</v>
      </c>
      <c r="G674" s="26">
        <f>IFERROR(__xludf.DUMMYFUNCTION("""COMPUTED_VALUE"""),2.0)</f>
        <v>2</v>
      </c>
      <c r="H674" s="26">
        <f>IFERROR(__xludf.DUMMYFUNCTION("""COMPUTED_VALUE"""),18.7812)</f>
        <v>18.7812</v>
      </c>
    </row>
    <row r="675">
      <c r="A675" s="26" t="str">
        <f>IFERROR(__xludf.DUMMYFUNCTION("""COMPUTED_VALUE"""),"CA-2014-136742")</f>
        <v>CA-2014-136742</v>
      </c>
      <c r="B675" s="27">
        <f>IFERROR(__xludf.DUMMYFUNCTION("""COMPUTED_VALUE"""),41735.0)</f>
        <v>41735</v>
      </c>
      <c r="C675" s="26" t="str">
        <f>IFERROR(__xludf.DUMMYFUNCTION("""COMPUTED_VALUE"""),"Corporate")</f>
        <v>Corporate</v>
      </c>
      <c r="D675" s="26" t="str">
        <f>IFERROR(__xludf.DUMMYFUNCTION("""COMPUTED_VALUE"""),"Pennsylvania")</f>
        <v>Pennsylvania</v>
      </c>
      <c r="E675" s="26" t="str">
        <f>IFERROR(__xludf.DUMMYFUNCTION("""COMPUTED_VALUE"""),"East")</f>
        <v>East</v>
      </c>
      <c r="F675" s="26">
        <f>IFERROR(__xludf.DUMMYFUNCTION("""COMPUTED_VALUE"""),44.91)</f>
        <v>44.91</v>
      </c>
      <c r="G675" s="26">
        <f>IFERROR(__xludf.DUMMYFUNCTION("""COMPUTED_VALUE"""),6.0)</f>
        <v>6</v>
      </c>
      <c r="H675" s="26">
        <f>IFERROR(__xludf.DUMMYFUNCTION("""COMPUTED_VALUE"""),-35.928)</f>
        <v>-35.928</v>
      </c>
    </row>
    <row r="676">
      <c r="A676" s="26" t="str">
        <f>IFERROR(__xludf.DUMMYFUNCTION("""COMPUTED_VALUE"""),"CA-2014-148488")</f>
        <v>CA-2014-148488</v>
      </c>
      <c r="B676" s="29">
        <f>IFERROR(__xludf.DUMMYFUNCTION("""COMPUTED_VALUE"""),41983.0)</f>
        <v>41983</v>
      </c>
      <c r="C676" s="26" t="str">
        <f>IFERROR(__xludf.DUMMYFUNCTION("""COMPUTED_VALUE"""),"Consumer")</f>
        <v>Consumer</v>
      </c>
      <c r="D676" s="26" t="str">
        <f>IFERROR(__xludf.DUMMYFUNCTION("""COMPUTED_VALUE"""),"New York")</f>
        <v>New York</v>
      </c>
      <c r="E676" s="26" t="str">
        <f>IFERROR(__xludf.DUMMYFUNCTION("""COMPUTED_VALUE"""),"East")</f>
        <v>East</v>
      </c>
      <c r="F676" s="26">
        <f>IFERROR(__xludf.DUMMYFUNCTION("""COMPUTED_VALUE"""),11.36)</f>
        <v>11.36</v>
      </c>
      <c r="G676" s="26">
        <f>IFERROR(__xludf.DUMMYFUNCTION("""COMPUTED_VALUE"""),2.0)</f>
        <v>2</v>
      </c>
      <c r="H676" s="26">
        <f>IFERROR(__xludf.DUMMYFUNCTION("""COMPUTED_VALUE"""),5.2256)</f>
        <v>5.2256</v>
      </c>
    </row>
    <row r="677">
      <c r="A677" s="26" t="str">
        <f>IFERROR(__xludf.DUMMYFUNCTION("""COMPUTED_VALUE"""),"US-2014-158638")</f>
        <v>US-2014-158638</v>
      </c>
      <c r="B677" s="27">
        <f>IFERROR(__xludf.DUMMYFUNCTION("""COMPUTED_VALUE"""),41899.0)</f>
        <v>41899</v>
      </c>
      <c r="C677" s="26" t="str">
        <f>IFERROR(__xludf.DUMMYFUNCTION("""COMPUTED_VALUE"""),"Home Office")</f>
        <v>Home Office</v>
      </c>
      <c r="D677" s="26" t="str">
        <f>IFERROR(__xludf.DUMMYFUNCTION("""COMPUTED_VALUE"""),"Pennsylvania")</f>
        <v>Pennsylvania</v>
      </c>
      <c r="E677" s="26" t="str">
        <f>IFERROR(__xludf.DUMMYFUNCTION("""COMPUTED_VALUE"""),"East")</f>
        <v>East</v>
      </c>
      <c r="F677" s="26">
        <f>IFERROR(__xludf.DUMMYFUNCTION("""COMPUTED_VALUE"""),5.892)</f>
        <v>5.892</v>
      </c>
      <c r="G677" s="26">
        <f>IFERROR(__xludf.DUMMYFUNCTION("""COMPUTED_VALUE"""),4.0)</f>
        <v>4</v>
      </c>
      <c r="H677" s="26">
        <f>IFERROR(__xludf.DUMMYFUNCTION("""COMPUTED_VALUE"""),-4.1244)</f>
        <v>-4.1244</v>
      </c>
    </row>
    <row r="678">
      <c r="A678" s="26" t="str">
        <f>IFERROR(__xludf.DUMMYFUNCTION("""COMPUTED_VALUE"""),"CA-2014-134061")</f>
        <v>CA-2014-134061</v>
      </c>
      <c r="B678" s="27">
        <f>IFERROR(__xludf.DUMMYFUNCTION("""COMPUTED_VALUE"""),41758.0)</f>
        <v>41758</v>
      </c>
      <c r="C678" s="26" t="str">
        <f>IFERROR(__xludf.DUMMYFUNCTION("""COMPUTED_VALUE"""),"Consumer")</f>
        <v>Consumer</v>
      </c>
      <c r="D678" s="26" t="str">
        <f>IFERROR(__xludf.DUMMYFUNCTION("""COMPUTED_VALUE"""),"New York")</f>
        <v>New York</v>
      </c>
      <c r="E678" s="26" t="str">
        <f>IFERROR(__xludf.DUMMYFUNCTION("""COMPUTED_VALUE"""),"East")</f>
        <v>East</v>
      </c>
      <c r="F678" s="26">
        <f>IFERROR(__xludf.DUMMYFUNCTION("""COMPUTED_VALUE"""),17.46)</f>
        <v>17.46</v>
      </c>
      <c r="G678" s="26">
        <f>IFERROR(__xludf.DUMMYFUNCTION("""COMPUTED_VALUE"""),2.0)</f>
        <v>2</v>
      </c>
      <c r="H678" s="26">
        <f>IFERROR(__xludf.DUMMYFUNCTION("""COMPUTED_VALUE"""),5.9364)</f>
        <v>5.9364</v>
      </c>
    </row>
    <row r="679">
      <c r="A679" s="26" t="str">
        <f>IFERROR(__xludf.DUMMYFUNCTION("""COMPUTED_VALUE"""),"CA-2014-132962")</f>
        <v>CA-2014-132962</v>
      </c>
      <c r="B679" s="27">
        <f>IFERROR(__xludf.DUMMYFUNCTION("""COMPUTED_VALUE"""),41895.0)</f>
        <v>41895</v>
      </c>
      <c r="C679" s="26" t="str">
        <f>IFERROR(__xludf.DUMMYFUNCTION("""COMPUTED_VALUE"""),"Consumer")</f>
        <v>Consumer</v>
      </c>
      <c r="D679" s="26" t="str">
        <f>IFERROR(__xludf.DUMMYFUNCTION("""COMPUTED_VALUE"""),"Pennsylvania")</f>
        <v>Pennsylvania</v>
      </c>
      <c r="E679" s="26" t="str">
        <f>IFERROR(__xludf.DUMMYFUNCTION("""COMPUTED_VALUE"""),"East")</f>
        <v>East</v>
      </c>
      <c r="F679" s="26">
        <f>IFERROR(__xludf.DUMMYFUNCTION("""COMPUTED_VALUE"""),15.552)</f>
        <v>15.552</v>
      </c>
      <c r="G679" s="26">
        <f>IFERROR(__xludf.DUMMYFUNCTION("""COMPUTED_VALUE"""),3.0)</f>
        <v>3</v>
      </c>
      <c r="H679" s="26">
        <f>IFERROR(__xludf.DUMMYFUNCTION("""COMPUTED_VALUE"""),5.4432)</f>
        <v>5.4432</v>
      </c>
    </row>
    <row r="680">
      <c r="A680" s="26" t="str">
        <f>IFERROR(__xludf.DUMMYFUNCTION("""COMPUTED_VALUE"""),"CA-2014-115791")</f>
        <v>CA-2014-115791</v>
      </c>
      <c r="B680" s="27">
        <f>IFERROR(__xludf.DUMMYFUNCTION("""COMPUTED_VALUE"""),41655.0)</f>
        <v>41655</v>
      </c>
      <c r="C680" s="26" t="str">
        <f>IFERROR(__xludf.DUMMYFUNCTION("""COMPUTED_VALUE"""),"Consumer")</f>
        <v>Consumer</v>
      </c>
      <c r="D680" s="26" t="str">
        <f>IFERROR(__xludf.DUMMYFUNCTION("""COMPUTED_VALUE"""),"Pennsylvania")</f>
        <v>Pennsylvania</v>
      </c>
      <c r="E680" s="26" t="str">
        <f>IFERROR(__xludf.DUMMYFUNCTION("""COMPUTED_VALUE"""),"East")</f>
        <v>East</v>
      </c>
      <c r="F680" s="26">
        <f>IFERROR(__xludf.DUMMYFUNCTION("""COMPUTED_VALUE"""),127.104)</f>
        <v>127.104</v>
      </c>
      <c r="G680" s="26">
        <f>IFERROR(__xludf.DUMMYFUNCTION("""COMPUTED_VALUE"""),6.0)</f>
        <v>6</v>
      </c>
      <c r="H680" s="26">
        <f>IFERROR(__xludf.DUMMYFUNCTION("""COMPUTED_VALUE"""),28.5984)</f>
        <v>28.5984</v>
      </c>
    </row>
    <row r="681">
      <c r="A681" s="26" t="str">
        <f>IFERROR(__xludf.DUMMYFUNCTION("""COMPUTED_VALUE"""),"CA-2014-163552")</f>
        <v>CA-2014-163552</v>
      </c>
      <c r="B681" s="27">
        <f>IFERROR(__xludf.DUMMYFUNCTION("""COMPUTED_VALUE"""),41831.0)</f>
        <v>41831</v>
      </c>
      <c r="C681" s="26" t="str">
        <f>IFERROR(__xludf.DUMMYFUNCTION("""COMPUTED_VALUE"""),"Corporate")</f>
        <v>Corporate</v>
      </c>
      <c r="D681" s="26" t="str">
        <f>IFERROR(__xludf.DUMMYFUNCTION("""COMPUTED_VALUE"""),"New Jersey")</f>
        <v>New Jersey</v>
      </c>
      <c r="E681" s="26" t="str">
        <f>IFERROR(__xludf.DUMMYFUNCTION("""COMPUTED_VALUE"""),"East")</f>
        <v>East</v>
      </c>
      <c r="F681" s="26">
        <f>IFERROR(__xludf.DUMMYFUNCTION("""COMPUTED_VALUE"""),177.2)</f>
        <v>177.2</v>
      </c>
      <c r="G681" s="26">
        <f>IFERROR(__xludf.DUMMYFUNCTION("""COMPUTED_VALUE"""),5.0)</f>
        <v>5</v>
      </c>
      <c r="H681" s="26">
        <f>IFERROR(__xludf.DUMMYFUNCTION("""COMPUTED_VALUE"""),83.284)</f>
        <v>83.284</v>
      </c>
    </row>
    <row r="682">
      <c r="A682" s="26" t="str">
        <f>IFERROR(__xludf.DUMMYFUNCTION("""COMPUTED_VALUE"""),"CA-2014-127964")</f>
        <v>CA-2014-127964</v>
      </c>
      <c r="B682" s="27">
        <f>IFERROR(__xludf.DUMMYFUNCTION("""COMPUTED_VALUE"""),41701.0)</f>
        <v>41701</v>
      </c>
      <c r="C682" s="26" t="str">
        <f>IFERROR(__xludf.DUMMYFUNCTION("""COMPUTED_VALUE"""),"Home Office")</f>
        <v>Home Office</v>
      </c>
      <c r="D682" s="26" t="str">
        <f>IFERROR(__xludf.DUMMYFUNCTION("""COMPUTED_VALUE"""),"New York")</f>
        <v>New York</v>
      </c>
      <c r="E682" s="26" t="str">
        <f>IFERROR(__xludf.DUMMYFUNCTION("""COMPUTED_VALUE"""),"East")</f>
        <v>East</v>
      </c>
      <c r="F682" s="26">
        <f>IFERROR(__xludf.DUMMYFUNCTION("""COMPUTED_VALUE"""),9.99)</f>
        <v>9.99</v>
      </c>
      <c r="G682" s="26">
        <f>IFERROR(__xludf.DUMMYFUNCTION("""COMPUTED_VALUE"""),1.0)</f>
        <v>1</v>
      </c>
      <c r="H682" s="26">
        <f>IFERROR(__xludf.DUMMYFUNCTION("""COMPUTED_VALUE"""),4.5954)</f>
        <v>4.5954</v>
      </c>
    </row>
    <row r="683">
      <c r="A683" s="26" t="str">
        <f>IFERROR(__xludf.DUMMYFUNCTION("""COMPUTED_VALUE"""),"CA-2014-128146")</f>
        <v>CA-2014-128146</v>
      </c>
      <c r="B683" s="27">
        <f>IFERROR(__xludf.DUMMYFUNCTION("""COMPUTED_VALUE"""),41811.0)</f>
        <v>41811</v>
      </c>
      <c r="C683" s="26" t="str">
        <f>IFERROR(__xludf.DUMMYFUNCTION("""COMPUTED_VALUE"""),"Consumer")</f>
        <v>Consumer</v>
      </c>
      <c r="D683" s="26" t="str">
        <f>IFERROR(__xludf.DUMMYFUNCTION("""COMPUTED_VALUE"""),"New Jersey")</f>
        <v>New Jersey</v>
      </c>
      <c r="E683" s="26" t="str">
        <f>IFERROR(__xludf.DUMMYFUNCTION("""COMPUTED_VALUE"""),"East")</f>
        <v>East</v>
      </c>
      <c r="F683" s="26">
        <f>IFERROR(__xludf.DUMMYFUNCTION("""COMPUTED_VALUE"""),1322.93)</f>
        <v>1322.93</v>
      </c>
      <c r="G683" s="26">
        <f>IFERROR(__xludf.DUMMYFUNCTION("""COMPUTED_VALUE"""),7.0)</f>
        <v>7</v>
      </c>
      <c r="H683" s="26">
        <f>IFERROR(__xludf.DUMMYFUNCTION("""COMPUTED_VALUE"""),357.1911)</f>
        <v>357.1911</v>
      </c>
    </row>
    <row r="684">
      <c r="A684" s="26" t="str">
        <f>IFERROR(__xludf.DUMMYFUNCTION("""COMPUTED_VALUE"""),"CA-2014-107153")</f>
        <v>CA-2014-107153</v>
      </c>
      <c r="B684" s="27">
        <f>IFERROR(__xludf.DUMMYFUNCTION("""COMPUTED_VALUE"""),41910.0)</f>
        <v>41910</v>
      </c>
      <c r="C684" s="26" t="str">
        <f>IFERROR(__xludf.DUMMYFUNCTION("""COMPUTED_VALUE"""),"Corporate")</f>
        <v>Corporate</v>
      </c>
      <c r="D684" s="26" t="str">
        <f>IFERROR(__xludf.DUMMYFUNCTION("""COMPUTED_VALUE"""),"Massachusetts")</f>
        <v>Massachusetts</v>
      </c>
      <c r="E684" s="26" t="str">
        <f>IFERROR(__xludf.DUMMYFUNCTION("""COMPUTED_VALUE"""),"East")</f>
        <v>East</v>
      </c>
      <c r="F684" s="26">
        <f>IFERROR(__xludf.DUMMYFUNCTION("""COMPUTED_VALUE"""),46.26)</f>
        <v>46.26</v>
      </c>
      <c r="G684" s="26">
        <f>IFERROR(__xludf.DUMMYFUNCTION("""COMPUTED_VALUE"""),3.0)</f>
        <v>3</v>
      </c>
      <c r="H684" s="26">
        <f>IFERROR(__xludf.DUMMYFUNCTION("""COMPUTED_VALUE"""),12.4902)</f>
        <v>12.4902</v>
      </c>
    </row>
    <row r="685">
      <c r="A685" s="26" t="str">
        <f>IFERROR(__xludf.DUMMYFUNCTION("""COMPUTED_VALUE"""),"US-2014-118486")</f>
        <v>US-2014-118486</v>
      </c>
      <c r="B685" s="27">
        <f>IFERROR(__xludf.DUMMYFUNCTION("""COMPUTED_VALUE"""),41735.0)</f>
        <v>41735</v>
      </c>
      <c r="C685" s="26" t="str">
        <f>IFERROR(__xludf.DUMMYFUNCTION("""COMPUTED_VALUE"""),"Home Office")</f>
        <v>Home Office</v>
      </c>
      <c r="D685" s="26" t="str">
        <f>IFERROR(__xludf.DUMMYFUNCTION("""COMPUTED_VALUE"""),"Pennsylvania")</f>
        <v>Pennsylvania</v>
      </c>
      <c r="E685" s="26" t="str">
        <f>IFERROR(__xludf.DUMMYFUNCTION("""COMPUTED_VALUE"""),"East")</f>
        <v>East</v>
      </c>
      <c r="F685" s="26">
        <f>IFERROR(__xludf.DUMMYFUNCTION("""COMPUTED_VALUE"""),10.304)</f>
        <v>10.304</v>
      </c>
      <c r="G685" s="26">
        <f>IFERROR(__xludf.DUMMYFUNCTION("""COMPUTED_VALUE"""),1.0)</f>
        <v>1</v>
      </c>
      <c r="H685" s="26">
        <f>IFERROR(__xludf.DUMMYFUNCTION("""COMPUTED_VALUE"""),-2.1896)</f>
        <v>-2.1896</v>
      </c>
    </row>
    <row r="686">
      <c r="A686" s="26" t="str">
        <f>IFERROR(__xludf.DUMMYFUNCTION("""COMPUTED_VALUE"""),"CA-2014-146640")</f>
        <v>CA-2014-146640</v>
      </c>
      <c r="B686" s="27">
        <f>IFERROR(__xludf.DUMMYFUNCTION("""COMPUTED_VALUE"""),41820.0)</f>
        <v>41820</v>
      </c>
      <c r="C686" s="26" t="str">
        <f>IFERROR(__xludf.DUMMYFUNCTION("""COMPUTED_VALUE"""),"Consumer")</f>
        <v>Consumer</v>
      </c>
      <c r="D686" s="26" t="str">
        <f>IFERROR(__xludf.DUMMYFUNCTION("""COMPUTED_VALUE"""),"New York")</f>
        <v>New York</v>
      </c>
      <c r="E686" s="26" t="str">
        <f>IFERROR(__xludf.DUMMYFUNCTION("""COMPUTED_VALUE"""),"East")</f>
        <v>East</v>
      </c>
      <c r="F686" s="26">
        <f>IFERROR(__xludf.DUMMYFUNCTION("""COMPUTED_VALUE"""),334.768)</f>
        <v>334.768</v>
      </c>
      <c r="G686" s="26">
        <f>IFERROR(__xludf.DUMMYFUNCTION("""COMPUTED_VALUE"""),7.0)</f>
        <v>7</v>
      </c>
      <c r="H686" s="26">
        <f>IFERROR(__xludf.DUMMYFUNCTION("""COMPUTED_VALUE"""),108.7996)</f>
        <v>108.7996</v>
      </c>
    </row>
    <row r="687">
      <c r="A687" s="26" t="str">
        <f>IFERROR(__xludf.DUMMYFUNCTION("""COMPUTED_VALUE"""),"US-2014-112564")</f>
        <v>US-2014-112564</v>
      </c>
      <c r="B687" s="27">
        <f>IFERROR(__xludf.DUMMYFUNCTION("""COMPUTED_VALUE"""),41752.0)</f>
        <v>41752</v>
      </c>
      <c r="C687" s="26" t="str">
        <f>IFERROR(__xludf.DUMMYFUNCTION("""COMPUTED_VALUE"""),"Corporate")</f>
        <v>Corporate</v>
      </c>
      <c r="D687" s="26" t="str">
        <f>IFERROR(__xludf.DUMMYFUNCTION("""COMPUTED_VALUE"""),"Pennsylvania")</f>
        <v>Pennsylvania</v>
      </c>
      <c r="E687" s="26" t="str">
        <f>IFERROR(__xludf.DUMMYFUNCTION("""COMPUTED_VALUE"""),"East")</f>
        <v>East</v>
      </c>
      <c r="F687" s="26">
        <f>IFERROR(__xludf.DUMMYFUNCTION("""COMPUTED_VALUE"""),2.502)</f>
        <v>2.502</v>
      </c>
      <c r="G687" s="26">
        <f>IFERROR(__xludf.DUMMYFUNCTION("""COMPUTED_VALUE"""),3.0)</f>
        <v>3</v>
      </c>
      <c r="H687" s="26">
        <f>IFERROR(__xludf.DUMMYFUNCTION("""COMPUTED_VALUE"""),-1.7514)</f>
        <v>-1.7514</v>
      </c>
    </row>
    <row r="688">
      <c r="A688" s="26" t="str">
        <f>IFERROR(__xludf.DUMMYFUNCTION("""COMPUTED_VALUE"""),"CA-2014-155271")</f>
        <v>CA-2014-155271</v>
      </c>
      <c r="B688" s="27">
        <f>IFERROR(__xludf.DUMMYFUNCTION("""COMPUTED_VALUE"""),41763.0)</f>
        <v>41763</v>
      </c>
      <c r="C688" s="26" t="str">
        <f>IFERROR(__xludf.DUMMYFUNCTION("""COMPUTED_VALUE"""),"Consumer")</f>
        <v>Consumer</v>
      </c>
      <c r="D688" s="26" t="str">
        <f>IFERROR(__xludf.DUMMYFUNCTION("""COMPUTED_VALUE"""),"Connecticut")</f>
        <v>Connecticut</v>
      </c>
      <c r="E688" s="26" t="str">
        <f>IFERROR(__xludf.DUMMYFUNCTION("""COMPUTED_VALUE"""),"East")</f>
        <v>East</v>
      </c>
      <c r="F688" s="26">
        <f>IFERROR(__xludf.DUMMYFUNCTION("""COMPUTED_VALUE"""),27.46)</f>
        <v>27.46</v>
      </c>
      <c r="G688" s="26">
        <f>IFERROR(__xludf.DUMMYFUNCTION("""COMPUTED_VALUE"""),2.0)</f>
        <v>2</v>
      </c>
      <c r="H688" s="26">
        <f>IFERROR(__xludf.DUMMYFUNCTION("""COMPUTED_VALUE"""),9.8856)</f>
        <v>9.8856</v>
      </c>
    </row>
    <row r="689">
      <c r="A689" s="26" t="str">
        <f>IFERROR(__xludf.DUMMYFUNCTION("""COMPUTED_VALUE"""),"CA-2014-119032")</f>
        <v>CA-2014-119032</v>
      </c>
      <c r="B689" s="29">
        <f>IFERROR(__xludf.DUMMYFUNCTION("""COMPUTED_VALUE"""),41970.0)</f>
        <v>41970</v>
      </c>
      <c r="C689" s="26" t="str">
        <f>IFERROR(__xludf.DUMMYFUNCTION("""COMPUTED_VALUE"""),"Consumer")</f>
        <v>Consumer</v>
      </c>
      <c r="D689" s="26" t="str">
        <f>IFERROR(__xludf.DUMMYFUNCTION("""COMPUTED_VALUE"""),"New York")</f>
        <v>New York</v>
      </c>
      <c r="E689" s="26" t="str">
        <f>IFERROR(__xludf.DUMMYFUNCTION("""COMPUTED_VALUE"""),"East")</f>
        <v>East</v>
      </c>
      <c r="F689" s="26">
        <f>IFERROR(__xludf.DUMMYFUNCTION("""COMPUTED_VALUE"""),3.76)</f>
        <v>3.76</v>
      </c>
      <c r="G689" s="26">
        <f>IFERROR(__xludf.DUMMYFUNCTION("""COMPUTED_VALUE"""),2.0)</f>
        <v>2</v>
      </c>
      <c r="H689" s="26">
        <f>IFERROR(__xludf.DUMMYFUNCTION("""COMPUTED_VALUE"""),1.316)</f>
        <v>1.316</v>
      </c>
    </row>
    <row r="690">
      <c r="A690" s="26" t="str">
        <f>IFERROR(__xludf.DUMMYFUNCTION("""COMPUTED_VALUE"""),"CA-2014-136280")</f>
        <v>CA-2014-136280</v>
      </c>
      <c r="B690" s="29">
        <f>IFERROR(__xludf.DUMMYFUNCTION("""COMPUTED_VALUE"""),41972.0)</f>
        <v>41972</v>
      </c>
      <c r="C690" s="26" t="str">
        <f>IFERROR(__xludf.DUMMYFUNCTION("""COMPUTED_VALUE"""),"Consumer")</f>
        <v>Consumer</v>
      </c>
      <c r="D690" s="26" t="str">
        <f>IFERROR(__xludf.DUMMYFUNCTION("""COMPUTED_VALUE"""),"Pennsylvania")</f>
        <v>Pennsylvania</v>
      </c>
      <c r="E690" s="26" t="str">
        <f>IFERROR(__xludf.DUMMYFUNCTION("""COMPUTED_VALUE"""),"East")</f>
        <v>East</v>
      </c>
      <c r="F690" s="26">
        <f>IFERROR(__xludf.DUMMYFUNCTION("""COMPUTED_VALUE"""),5.04)</f>
        <v>5.04</v>
      </c>
      <c r="G690" s="26">
        <f>IFERROR(__xludf.DUMMYFUNCTION("""COMPUTED_VALUE"""),2.0)</f>
        <v>2</v>
      </c>
      <c r="H690" s="26">
        <f>IFERROR(__xludf.DUMMYFUNCTION("""COMPUTED_VALUE"""),1.764)</f>
        <v>1.764</v>
      </c>
    </row>
    <row r="691">
      <c r="A691" s="26" t="str">
        <f>IFERROR(__xludf.DUMMYFUNCTION("""COMPUTED_VALUE"""),"CA-2014-166884")</f>
        <v>CA-2014-166884</v>
      </c>
      <c r="B691" s="27">
        <f>IFERROR(__xludf.DUMMYFUNCTION("""COMPUTED_VALUE"""),41709.0)</f>
        <v>41709</v>
      </c>
      <c r="C691" s="26" t="str">
        <f>IFERROR(__xludf.DUMMYFUNCTION("""COMPUTED_VALUE"""),"Consumer")</f>
        <v>Consumer</v>
      </c>
      <c r="D691" s="26" t="str">
        <f>IFERROR(__xludf.DUMMYFUNCTION("""COMPUTED_VALUE"""),"Ohio")</f>
        <v>Ohio</v>
      </c>
      <c r="E691" s="26" t="str">
        <f>IFERROR(__xludf.DUMMYFUNCTION("""COMPUTED_VALUE"""),"East")</f>
        <v>East</v>
      </c>
      <c r="F691" s="26">
        <f>IFERROR(__xludf.DUMMYFUNCTION("""COMPUTED_VALUE"""),8.32)</f>
        <v>8.32</v>
      </c>
      <c r="G691" s="26">
        <f>IFERROR(__xludf.DUMMYFUNCTION("""COMPUTED_VALUE"""),5.0)</f>
        <v>5</v>
      </c>
      <c r="H691" s="26">
        <f>IFERROR(__xludf.DUMMYFUNCTION("""COMPUTED_VALUE"""),2.288)</f>
        <v>2.288</v>
      </c>
    </row>
    <row r="692">
      <c r="A692" s="26" t="str">
        <f>IFERROR(__xludf.DUMMYFUNCTION("""COMPUTED_VALUE"""),"CA-2014-150245")</f>
        <v>CA-2014-150245</v>
      </c>
      <c r="B692" s="29">
        <f>IFERROR(__xludf.DUMMYFUNCTION("""COMPUTED_VALUE"""),42004.0)</f>
        <v>42004</v>
      </c>
      <c r="C692" s="26" t="str">
        <f>IFERROR(__xludf.DUMMYFUNCTION("""COMPUTED_VALUE"""),"Corporate")</f>
        <v>Corporate</v>
      </c>
      <c r="D692" s="26" t="str">
        <f>IFERROR(__xludf.DUMMYFUNCTION("""COMPUTED_VALUE"""),"New York")</f>
        <v>New York</v>
      </c>
      <c r="E692" s="26" t="str">
        <f>IFERROR(__xludf.DUMMYFUNCTION("""COMPUTED_VALUE"""),"East")</f>
        <v>East</v>
      </c>
      <c r="F692" s="26">
        <f>IFERROR(__xludf.DUMMYFUNCTION("""COMPUTED_VALUE"""),1573.488)</f>
        <v>1573.488</v>
      </c>
      <c r="G692" s="26">
        <f>IFERROR(__xludf.DUMMYFUNCTION("""COMPUTED_VALUE"""),7.0)</f>
        <v>7</v>
      </c>
      <c r="H692" s="26">
        <f>IFERROR(__xludf.DUMMYFUNCTION("""COMPUTED_VALUE"""),196.686)</f>
        <v>196.686</v>
      </c>
    </row>
    <row r="693">
      <c r="A693" s="26" t="str">
        <f>IFERROR(__xludf.DUMMYFUNCTION("""COMPUTED_VALUE"""),"CA-2014-134278")</f>
        <v>CA-2014-134278</v>
      </c>
      <c r="B693" s="27">
        <f>IFERROR(__xludf.DUMMYFUNCTION("""COMPUTED_VALUE"""),41826.0)</f>
        <v>41826</v>
      </c>
      <c r="C693" s="26" t="str">
        <f>IFERROR(__xludf.DUMMYFUNCTION("""COMPUTED_VALUE"""),"Consumer")</f>
        <v>Consumer</v>
      </c>
      <c r="D693" s="26" t="str">
        <f>IFERROR(__xludf.DUMMYFUNCTION("""COMPUTED_VALUE"""),"New York")</f>
        <v>New York</v>
      </c>
      <c r="E693" s="26" t="str">
        <f>IFERROR(__xludf.DUMMYFUNCTION("""COMPUTED_VALUE"""),"East")</f>
        <v>East</v>
      </c>
      <c r="F693" s="26">
        <f>IFERROR(__xludf.DUMMYFUNCTION("""COMPUTED_VALUE"""),559.992)</f>
        <v>559.992</v>
      </c>
      <c r="G693" s="26">
        <f>IFERROR(__xludf.DUMMYFUNCTION("""COMPUTED_VALUE"""),1.0)</f>
        <v>1</v>
      </c>
      <c r="H693" s="26">
        <f>IFERROR(__xludf.DUMMYFUNCTION("""COMPUTED_VALUE"""),174.9975)</f>
        <v>174.9975</v>
      </c>
    </row>
    <row r="694">
      <c r="A694" s="26" t="str">
        <f>IFERROR(__xludf.DUMMYFUNCTION("""COMPUTED_VALUE"""),"CA-2014-122882")</f>
        <v>CA-2014-122882</v>
      </c>
      <c r="B694" s="27">
        <f>IFERROR(__xludf.DUMMYFUNCTION("""COMPUTED_VALUE"""),41889.0)</f>
        <v>41889</v>
      </c>
      <c r="C694" s="26" t="str">
        <f>IFERROR(__xludf.DUMMYFUNCTION("""COMPUTED_VALUE"""),"Corporate")</f>
        <v>Corporate</v>
      </c>
      <c r="D694" s="26" t="str">
        <f>IFERROR(__xludf.DUMMYFUNCTION("""COMPUTED_VALUE"""),"Pennsylvania")</f>
        <v>Pennsylvania</v>
      </c>
      <c r="E694" s="26" t="str">
        <f>IFERROR(__xludf.DUMMYFUNCTION("""COMPUTED_VALUE"""),"East")</f>
        <v>East</v>
      </c>
      <c r="F694" s="26">
        <f>IFERROR(__xludf.DUMMYFUNCTION("""COMPUTED_VALUE"""),64.784)</f>
        <v>64.784</v>
      </c>
      <c r="G694" s="26">
        <f>IFERROR(__xludf.DUMMYFUNCTION("""COMPUTED_VALUE"""),1.0)</f>
        <v>1</v>
      </c>
      <c r="H694" s="26">
        <f>IFERROR(__xludf.DUMMYFUNCTION("""COMPUTED_VALUE"""),-14.5764)</f>
        <v>-14.5764</v>
      </c>
    </row>
    <row r="695">
      <c r="A695" s="26" t="str">
        <f>IFERROR(__xludf.DUMMYFUNCTION("""COMPUTED_VALUE"""),"CA-2014-142839")</f>
        <v>CA-2014-142839</v>
      </c>
      <c r="B695" s="27">
        <f>IFERROR(__xludf.DUMMYFUNCTION("""COMPUTED_VALUE"""),41867.0)</f>
        <v>41867</v>
      </c>
      <c r="C695" s="26" t="str">
        <f>IFERROR(__xludf.DUMMYFUNCTION("""COMPUTED_VALUE"""),"Consumer")</f>
        <v>Consumer</v>
      </c>
      <c r="D695" s="26" t="str">
        <f>IFERROR(__xludf.DUMMYFUNCTION("""COMPUTED_VALUE"""),"Pennsylvania")</f>
        <v>Pennsylvania</v>
      </c>
      <c r="E695" s="26" t="str">
        <f>IFERROR(__xludf.DUMMYFUNCTION("""COMPUTED_VALUE"""),"East")</f>
        <v>East</v>
      </c>
      <c r="F695" s="26">
        <f>IFERROR(__xludf.DUMMYFUNCTION("""COMPUTED_VALUE"""),853.092)</f>
        <v>853.092</v>
      </c>
      <c r="G695" s="26">
        <f>IFERROR(__xludf.DUMMYFUNCTION("""COMPUTED_VALUE"""),6.0)</f>
        <v>6</v>
      </c>
      <c r="H695" s="26">
        <f>IFERROR(__xludf.DUMMYFUNCTION("""COMPUTED_VALUE"""),-227.4912)</f>
        <v>-227.4912</v>
      </c>
    </row>
    <row r="696">
      <c r="A696" s="26" t="str">
        <f>IFERROR(__xludf.DUMMYFUNCTION("""COMPUTED_VALUE"""),"CA-2014-133270")</f>
        <v>CA-2014-133270</v>
      </c>
      <c r="B696" s="27">
        <f>IFERROR(__xludf.DUMMYFUNCTION("""COMPUTED_VALUE"""),41796.0)</f>
        <v>41796</v>
      </c>
      <c r="C696" s="26" t="str">
        <f>IFERROR(__xludf.DUMMYFUNCTION("""COMPUTED_VALUE"""),"Consumer")</f>
        <v>Consumer</v>
      </c>
      <c r="D696" s="26" t="str">
        <f>IFERROR(__xludf.DUMMYFUNCTION("""COMPUTED_VALUE"""),"New York")</f>
        <v>New York</v>
      </c>
      <c r="E696" s="26" t="str">
        <f>IFERROR(__xludf.DUMMYFUNCTION("""COMPUTED_VALUE"""),"East")</f>
        <v>East</v>
      </c>
      <c r="F696" s="26">
        <f>IFERROR(__xludf.DUMMYFUNCTION("""COMPUTED_VALUE"""),13.36)</f>
        <v>13.36</v>
      </c>
      <c r="G696" s="26">
        <f>IFERROR(__xludf.DUMMYFUNCTION("""COMPUTED_VALUE"""),2.0)</f>
        <v>2</v>
      </c>
      <c r="H696" s="26">
        <f>IFERROR(__xludf.DUMMYFUNCTION("""COMPUTED_VALUE"""),4.9432)</f>
        <v>4.9432</v>
      </c>
    </row>
    <row r="697">
      <c r="A697" s="26" t="str">
        <f>IFERROR(__xludf.DUMMYFUNCTION("""COMPUTED_VALUE"""),"CA-2014-141817")</f>
        <v>CA-2014-141817</v>
      </c>
      <c r="B697" s="27">
        <f>IFERROR(__xludf.DUMMYFUNCTION("""COMPUTED_VALUE"""),41644.0)</f>
        <v>41644</v>
      </c>
      <c r="C697" s="26" t="str">
        <f>IFERROR(__xludf.DUMMYFUNCTION("""COMPUTED_VALUE"""),"Consumer")</f>
        <v>Consumer</v>
      </c>
      <c r="D697" s="26" t="str">
        <f>IFERROR(__xludf.DUMMYFUNCTION("""COMPUTED_VALUE"""),"Pennsylvania")</f>
        <v>Pennsylvania</v>
      </c>
      <c r="E697" s="26" t="str">
        <f>IFERROR(__xludf.DUMMYFUNCTION("""COMPUTED_VALUE"""),"East")</f>
        <v>East</v>
      </c>
      <c r="F697" s="26">
        <f>IFERROR(__xludf.DUMMYFUNCTION("""COMPUTED_VALUE"""),19.536)</f>
        <v>19.536</v>
      </c>
      <c r="G697" s="26">
        <f>IFERROR(__xludf.DUMMYFUNCTION("""COMPUTED_VALUE"""),3.0)</f>
        <v>3</v>
      </c>
      <c r="H697" s="26">
        <f>IFERROR(__xludf.DUMMYFUNCTION("""COMPUTED_VALUE"""),4.884)</f>
        <v>4.884</v>
      </c>
    </row>
    <row r="698">
      <c r="A698" s="26" t="str">
        <f>IFERROR(__xludf.DUMMYFUNCTION("""COMPUTED_VALUE"""),"CA-2014-118976")</f>
        <v>CA-2014-118976</v>
      </c>
      <c r="B698" s="27">
        <f>IFERROR(__xludf.DUMMYFUNCTION("""COMPUTED_VALUE"""),41757.0)</f>
        <v>41757</v>
      </c>
      <c r="C698" s="26" t="str">
        <f>IFERROR(__xludf.DUMMYFUNCTION("""COMPUTED_VALUE"""),"Corporate")</f>
        <v>Corporate</v>
      </c>
      <c r="D698" s="26" t="str">
        <f>IFERROR(__xludf.DUMMYFUNCTION("""COMPUTED_VALUE"""),"Maryland")</f>
        <v>Maryland</v>
      </c>
      <c r="E698" s="26" t="str">
        <f>IFERROR(__xludf.DUMMYFUNCTION("""COMPUTED_VALUE"""),"East")</f>
        <v>East</v>
      </c>
      <c r="F698" s="26">
        <f>IFERROR(__xludf.DUMMYFUNCTION("""COMPUTED_VALUE"""),20.86)</f>
        <v>20.86</v>
      </c>
      <c r="G698" s="26">
        <f>IFERROR(__xludf.DUMMYFUNCTION("""COMPUTED_VALUE"""),2.0)</f>
        <v>2</v>
      </c>
      <c r="H698" s="26">
        <f>IFERROR(__xludf.DUMMYFUNCTION("""COMPUTED_VALUE"""),9.387)</f>
        <v>9.387</v>
      </c>
    </row>
    <row r="699">
      <c r="A699" s="26" t="str">
        <f>IFERROR(__xludf.DUMMYFUNCTION("""COMPUTED_VALUE"""),"CA-2014-102008")</f>
        <v>CA-2014-102008</v>
      </c>
      <c r="B699" s="27">
        <f>IFERROR(__xludf.DUMMYFUNCTION("""COMPUTED_VALUE"""),41912.0)</f>
        <v>41912</v>
      </c>
      <c r="C699" s="26" t="str">
        <f>IFERROR(__xludf.DUMMYFUNCTION("""COMPUTED_VALUE"""),"Consumer")</f>
        <v>Consumer</v>
      </c>
      <c r="D699" s="26" t="str">
        <f>IFERROR(__xludf.DUMMYFUNCTION("""COMPUTED_VALUE"""),"New York")</f>
        <v>New York</v>
      </c>
      <c r="E699" s="26" t="str">
        <f>IFERROR(__xludf.DUMMYFUNCTION("""COMPUTED_VALUE"""),"East")</f>
        <v>East</v>
      </c>
      <c r="F699" s="26">
        <f>IFERROR(__xludf.DUMMYFUNCTION("""COMPUTED_VALUE"""),48.94)</f>
        <v>48.94</v>
      </c>
      <c r="G699" s="26">
        <f>IFERROR(__xludf.DUMMYFUNCTION("""COMPUTED_VALUE"""),1.0)</f>
        <v>1</v>
      </c>
      <c r="H699" s="26">
        <f>IFERROR(__xludf.DUMMYFUNCTION("""COMPUTED_VALUE"""),24.47)</f>
        <v>24.47</v>
      </c>
    </row>
    <row r="700">
      <c r="A700" s="26" t="str">
        <f>IFERROR(__xludf.DUMMYFUNCTION("""COMPUTED_VALUE"""),"CA-2014-103373")</f>
        <v>CA-2014-103373</v>
      </c>
      <c r="B700" s="27">
        <f>IFERROR(__xludf.DUMMYFUNCTION("""COMPUTED_VALUE"""),41777.0)</f>
        <v>41777</v>
      </c>
      <c r="C700" s="26" t="str">
        <f>IFERROR(__xludf.DUMMYFUNCTION("""COMPUTED_VALUE"""),"Consumer")</f>
        <v>Consumer</v>
      </c>
      <c r="D700" s="26" t="str">
        <f>IFERROR(__xludf.DUMMYFUNCTION("""COMPUTED_VALUE"""),"Ohio")</f>
        <v>Ohio</v>
      </c>
      <c r="E700" s="26" t="str">
        <f>IFERROR(__xludf.DUMMYFUNCTION("""COMPUTED_VALUE"""),"East")</f>
        <v>East</v>
      </c>
      <c r="F700" s="26">
        <f>IFERROR(__xludf.DUMMYFUNCTION("""COMPUTED_VALUE"""),779.796)</f>
        <v>779.796</v>
      </c>
      <c r="G700" s="26">
        <f>IFERROR(__xludf.DUMMYFUNCTION("""COMPUTED_VALUE"""),2.0)</f>
        <v>2</v>
      </c>
      <c r="H700" s="26">
        <f>IFERROR(__xludf.DUMMYFUNCTION("""COMPUTED_VALUE"""),-168.9558)</f>
        <v>-168.9558</v>
      </c>
    </row>
    <row r="701">
      <c r="A701" s="26" t="str">
        <f>IFERROR(__xludf.DUMMYFUNCTION("""COMPUTED_VALUE"""),"CA-2014-141278")</f>
        <v>CA-2014-141278</v>
      </c>
      <c r="B701" s="27">
        <f>IFERROR(__xludf.DUMMYFUNCTION("""COMPUTED_VALUE"""),41811.0)</f>
        <v>41811</v>
      </c>
      <c r="C701" s="26" t="str">
        <f>IFERROR(__xludf.DUMMYFUNCTION("""COMPUTED_VALUE"""),"Consumer")</f>
        <v>Consumer</v>
      </c>
      <c r="D701" s="26" t="str">
        <f>IFERROR(__xludf.DUMMYFUNCTION("""COMPUTED_VALUE"""),"Connecticut")</f>
        <v>Connecticut</v>
      </c>
      <c r="E701" s="26" t="str">
        <f>IFERROR(__xludf.DUMMYFUNCTION("""COMPUTED_VALUE"""),"East")</f>
        <v>East</v>
      </c>
      <c r="F701" s="26">
        <f>IFERROR(__xludf.DUMMYFUNCTION("""COMPUTED_VALUE"""),21.4)</f>
        <v>21.4</v>
      </c>
      <c r="G701" s="26">
        <f>IFERROR(__xludf.DUMMYFUNCTION("""COMPUTED_VALUE"""),5.0)</f>
        <v>5</v>
      </c>
      <c r="H701" s="26">
        <f>IFERROR(__xludf.DUMMYFUNCTION("""COMPUTED_VALUE"""),6.206)</f>
        <v>6.206</v>
      </c>
    </row>
    <row r="702">
      <c r="A702" s="26" t="str">
        <f>IFERROR(__xludf.DUMMYFUNCTION("""COMPUTED_VALUE"""),"CA-2014-147914")</f>
        <v>CA-2014-147914</v>
      </c>
      <c r="B702" s="27">
        <f>IFERROR(__xludf.DUMMYFUNCTION("""COMPUTED_VALUE"""),41794.0)</f>
        <v>41794</v>
      </c>
      <c r="C702" s="26" t="str">
        <f>IFERROR(__xludf.DUMMYFUNCTION("""COMPUTED_VALUE"""),"Home Office")</f>
        <v>Home Office</v>
      </c>
      <c r="D702" s="26" t="str">
        <f>IFERROR(__xludf.DUMMYFUNCTION("""COMPUTED_VALUE"""),"Ohio")</f>
        <v>Ohio</v>
      </c>
      <c r="E702" s="26" t="str">
        <f>IFERROR(__xludf.DUMMYFUNCTION("""COMPUTED_VALUE"""),"East")</f>
        <v>East</v>
      </c>
      <c r="F702" s="26">
        <f>IFERROR(__xludf.DUMMYFUNCTION("""COMPUTED_VALUE"""),16.224)</f>
        <v>16.224</v>
      </c>
      <c r="G702" s="26">
        <f>IFERROR(__xludf.DUMMYFUNCTION("""COMPUTED_VALUE"""),2.0)</f>
        <v>2</v>
      </c>
      <c r="H702" s="26">
        <f>IFERROR(__xludf.DUMMYFUNCTION("""COMPUTED_VALUE"""),5.8812)</f>
        <v>5.8812</v>
      </c>
    </row>
    <row r="703">
      <c r="A703" s="26" t="str">
        <f>IFERROR(__xludf.DUMMYFUNCTION("""COMPUTED_VALUE"""),"CA-2014-142587")</f>
        <v>CA-2014-142587</v>
      </c>
      <c r="B703" s="29">
        <f>IFERROR(__xludf.DUMMYFUNCTION("""COMPUTED_VALUE"""),41933.0)</f>
        <v>41933</v>
      </c>
      <c r="C703" s="26" t="str">
        <f>IFERROR(__xludf.DUMMYFUNCTION("""COMPUTED_VALUE"""),"Consumer")</f>
        <v>Consumer</v>
      </c>
      <c r="D703" s="26" t="str">
        <f>IFERROR(__xludf.DUMMYFUNCTION("""COMPUTED_VALUE"""),"Ohio")</f>
        <v>Ohio</v>
      </c>
      <c r="E703" s="26" t="str">
        <f>IFERROR(__xludf.DUMMYFUNCTION("""COMPUTED_VALUE"""),"East")</f>
        <v>East</v>
      </c>
      <c r="F703" s="26">
        <f>IFERROR(__xludf.DUMMYFUNCTION("""COMPUTED_VALUE"""),121.792)</f>
        <v>121.792</v>
      </c>
      <c r="G703" s="26">
        <f>IFERROR(__xludf.DUMMYFUNCTION("""COMPUTED_VALUE"""),4.0)</f>
        <v>4</v>
      </c>
      <c r="H703" s="26">
        <f>IFERROR(__xludf.DUMMYFUNCTION("""COMPUTED_VALUE"""),13.7016)</f>
        <v>13.7016</v>
      </c>
    </row>
    <row r="704">
      <c r="A704" s="26" t="str">
        <f>IFERROR(__xludf.DUMMYFUNCTION("""COMPUTED_VALUE"""),"CA-2014-126032")</f>
        <v>CA-2014-126032</v>
      </c>
      <c r="B704" s="27">
        <f>IFERROR(__xludf.DUMMYFUNCTION("""COMPUTED_VALUE"""),41813.0)</f>
        <v>41813</v>
      </c>
      <c r="C704" s="26" t="str">
        <f>IFERROR(__xludf.DUMMYFUNCTION("""COMPUTED_VALUE"""),"Consumer")</f>
        <v>Consumer</v>
      </c>
      <c r="D704" s="26" t="str">
        <f>IFERROR(__xludf.DUMMYFUNCTION("""COMPUTED_VALUE"""),"Pennsylvania")</f>
        <v>Pennsylvania</v>
      </c>
      <c r="E704" s="26" t="str">
        <f>IFERROR(__xludf.DUMMYFUNCTION("""COMPUTED_VALUE"""),"East")</f>
        <v>East</v>
      </c>
      <c r="F704" s="26">
        <f>IFERROR(__xludf.DUMMYFUNCTION("""COMPUTED_VALUE"""),86.376)</f>
        <v>86.376</v>
      </c>
      <c r="G704" s="26">
        <f>IFERROR(__xludf.DUMMYFUNCTION("""COMPUTED_VALUE"""),3.0)</f>
        <v>3</v>
      </c>
      <c r="H704" s="26">
        <f>IFERROR(__xludf.DUMMYFUNCTION("""COMPUTED_VALUE"""),1.0797)</f>
        <v>1.0797</v>
      </c>
    </row>
    <row r="705">
      <c r="A705" s="26" t="str">
        <f>IFERROR(__xludf.DUMMYFUNCTION("""COMPUTED_VALUE"""),"US-2014-114188")</f>
        <v>US-2014-114188</v>
      </c>
      <c r="B705" s="27">
        <f>IFERROR(__xludf.DUMMYFUNCTION("""COMPUTED_VALUE"""),41779.0)</f>
        <v>41779</v>
      </c>
      <c r="C705" s="26" t="str">
        <f>IFERROR(__xludf.DUMMYFUNCTION("""COMPUTED_VALUE"""),"Corporate")</f>
        <v>Corporate</v>
      </c>
      <c r="D705" s="26" t="str">
        <f>IFERROR(__xludf.DUMMYFUNCTION("""COMPUTED_VALUE"""),"New Hampshire")</f>
        <v>New Hampshire</v>
      </c>
      <c r="E705" s="26" t="str">
        <f>IFERROR(__xludf.DUMMYFUNCTION("""COMPUTED_VALUE"""),"East")</f>
        <v>East</v>
      </c>
      <c r="F705" s="26">
        <f>IFERROR(__xludf.DUMMYFUNCTION("""COMPUTED_VALUE"""),33.28)</f>
        <v>33.28</v>
      </c>
      <c r="G705" s="26">
        <f>IFERROR(__xludf.DUMMYFUNCTION("""COMPUTED_VALUE"""),4.0)</f>
        <v>4</v>
      </c>
      <c r="H705" s="26">
        <f>IFERROR(__xludf.DUMMYFUNCTION("""COMPUTED_VALUE"""),9.3184)</f>
        <v>9.3184</v>
      </c>
    </row>
    <row r="706">
      <c r="A706" s="26" t="str">
        <f>IFERROR(__xludf.DUMMYFUNCTION("""COMPUTED_VALUE"""),"CA-2014-159520")</f>
        <v>CA-2014-159520</v>
      </c>
      <c r="B706" s="27">
        <f>IFERROR(__xludf.DUMMYFUNCTION("""COMPUTED_VALUE"""),41796.0)</f>
        <v>41796</v>
      </c>
      <c r="C706" s="26" t="str">
        <f>IFERROR(__xludf.DUMMYFUNCTION("""COMPUTED_VALUE"""),"Corporate")</f>
        <v>Corporate</v>
      </c>
      <c r="D706" s="26" t="str">
        <f>IFERROR(__xludf.DUMMYFUNCTION("""COMPUTED_VALUE"""),"New York")</f>
        <v>New York</v>
      </c>
      <c r="E706" s="26" t="str">
        <f>IFERROR(__xludf.DUMMYFUNCTION("""COMPUTED_VALUE"""),"East")</f>
        <v>East</v>
      </c>
      <c r="F706" s="26">
        <f>IFERROR(__xludf.DUMMYFUNCTION("""COMPUTED_VALUE"""),149.544)</f>
        <v>149.544</v>
      </c>
      <c r="G706" s="26">
        <f>IFERROR(__xludf.DUMMYFUNCTION("""COMPUTED_VALUE"""),9.0)</f>
        <v>9</v>
      </c>
      <c r="H706" s="26">
        <f>IFERROR(__xludf.DUMMYFUNCTION("""COMPUTED_VALUE"""),50.4711)</f>
        <v>50.4711</v>
      </c>
    </row>
    <row r="707">
      <c r="A707" s="26" t="str">
        <f>IFERROR(__xludf.DUMMYFUNCTION("""COMPUTED_VALUE"""),"CA-2014-125556")</f>
        <v>CA-2014-125556</v>
      </c>
      <c r="B707" s="29">
        <f>IFERROR(__xludf.DUMMYFUNCTION("""COMPUTED_VALUE"""),41957.0)</f>
        <v>41957</v>
      </c>
      <c r="C707" s="26" t="str">
        <f>IFERROR(__xludf.DUMMYFUNCTION("""COMPUTED_VALUE"""),"Consumer")</f>
        <v>Consumer</v>
      </c>
      <c r="D707" s="26" t="str">
        <f>IFERROR(__xludf.DUMMYFUNCTION("""COMPUTED_VALUE"""),"Connecticut")</f>
        <v>Connecticut</v>
      </c>
      <c r="E707" s="26" t="str">
        <f>IFERROR(__xludf.DUMMYFUNCTION("""COMPUTED_VALUE"""),"East")</f>
        <v>East</v>
      </c>
      <c r="F707" s="26">
        <f>IFERROR(__xludf.DUMMYFUNCTION("""COMPUTED_VALUE"""),832.93)</f>
        <v>832.93</v>
      </c>
      <c r="G707" s="26">
        <f>IFERROR(__xludf.DUMMYFUNCTION("""COMPUTED_VALUE"""),7.0)</f>
        <v>7</v>
      </c>
      <c r="H707" s="26">
        <f>IFERROR(__xludf.DUMMYFUNCTION("""COMPUTED_VALUE"""),233.2204)</f>
        <v>233.2204</v>
      </c>
    </row>
    <row r="708">
      <c r="A708" s="26" t="str">
        <f>IFERROR(__xludf.DUMMYFUNCTION("""COMPUTED_VALUE"""),"CA-2014-110639")</f>
        <v>CA-2014-110639</v>
      </c>
      <c r="B708" s="27">
        <f>IFERROR(__xludf.DUMMYFUNCTION("""COMPUTED_VALUE"""),41874.0)</f>
        <v>41874</v>
      </c>
      <c r="C708" s="26" t="str">
        <f>IFERROR(__xludf.DUMMYFUNCTION("""COMPUTED_VALUE"""),"Consumer")</f>
        <v>Consumer</v>
      </c>
      <c r="D708" s="26" t="str">
        <f>IFERROR(__xludf.DUMMYFUNCTION("""COMPUTED_VALUE"""),"New York")</f>
        <v>New York</v>
      </c>
      <c r="E708" s="26" t="str">
        <f>IFERROR(__xludf.DUMMYFUNCTION("""COMPUTED_VALUE"""),"East")</f>
        <v>East</v>
      </c>
      <c r="F708" s="26">
        <f>IFERROR(__xludf.DUMMYFUNCTION("""COMPUTED_VALUE"""),25.92)</f>
        <v>25.92</v>
      </c>
      <c r="G708" s="26">
        <f>IFERROR(__xludf.DUMMYFUNCTION("""COMPUTED_VALUE"""),4.0)</f>
        <v>4</v>
      </c>
      <c r="H708" s="26">
        <f>IFERROR(__xludf.DUMMYFUNCTION("""COMPUTED_VALUE"""),12.4416)</f>
        <v>12.4416</v>
      </c>
    </row>
    <row r="709">
      <c r="A709" s="26" t="str">
        <f>IFERROR(__xludf.DUMMYFUNCTION("""COMPUTED_VALUE"""),"CA-2014-121727")</f>
        <v>CA-2014-121727</v>
      </c>
      <c r="B709" s="27">
        <f>IFERROR(__xludf.DUMMYFUNCTION("""COMPUTED_VALUE"""),41870.0)</f>
        <v>41870</v>
      </c>
      <c r="C709" s="26" t="str">
        <f>IFERROR(__xludf.DUMMYFUNCTION("""COMPUTED_VALUE"""),"Consumer")</f>
        <v>Consumer</v>
      </c>
      <c r="D709" s="26" t="str">
        <f>IFERROR(__xludf.DUMMYFUNCTION("""COMPUTED_VALUE"""),"Ohio")</f>
        <v>Ohio</v>
      </c>
      <c r="E709" s="26" t="str">
        <f>IFERROR(__xludf.DUMMYFUNCTION("""COMPUTED_VALUE"""),"East")</f>
        <v>East</v>
      </c>
      <c r="F709" s="26">
        <f>IFERROR(__xludf.DUMMYFUNCTION("""COMPUTED_VALUE"""),10.72)</f>
        <v>10.72</v>
      </c>
      <c r="G709" s="26">
        <f>IFERROR(__xludf.DUMMYFUNCTION("""COMPUTED_VALUE"""),2.0)</f>
        <v>2</v>
      </c>
      <c r="H709" s="26">
        <f>IFERROR(__xludf.DUMMYFUNCTION("""COMPUTED_VALUE"""),1.742)</f>
        <v>1.742</v>
      </c>
    </row>
    <row r="710">
      <c r="A710" s="26" t="str">
        <f>IFERROR(__xludf.DUMMYFUNCTION("""COMPUTED_VALUE"""),"US-2014-143231")</f>
        <v>US-2014-143231</v>
      </c>
      <c r="B710" s="29">
        <f>IFERROR(__xludf.DUMMYFUNCTION("""COMPUTED_VALUE"""),42004.0)</f>
        <v>42004</v>
      </c>
      <c r="C710" s="26" t="str">
        <f>IFERROR(__xludf.DUMMYFUNCTION("""COMPUTED_VALUE"""),"Home Office")</f>
        <v>Home Office</v>
      </c>
      <c r="D710" s="26" t="str">
        <f>IFERROR(__xludf.DUMMYFUNCTION("""COMPUTED_VALUE"""),"Massachusetts")</f>
        <v>Massachusetts</v>
      </c>
      <c r="E710" s="26" t="str">
        <f>IFERROR(__xludf.DUMMYFUNCTION("""COMPUTED_VALUE"""),"East")</f>
        <v>East</v>
      </c>
      <c r="F710" s="26">
        <f>IFERROR(__xludf.DUMMYFUNCTION("""COMPUTED_VALUE"""),63.2)</f>
        <v>63.2</v>
      </c>
      <c r="G710" s="26">
        <f>IFERROR(__xludf.DUMMYFUNCTION("""COMPUTED_VALUE"""),5.0)</f>
        <v>5</v>
      </c>
      <c r="H710" s="26">
        <f>IFERROR(__xludf.DUMMYFUNCTION("""COMPUTED_VALUE"""),23.384)</f>
        <v>23.384</v>
      </c>
    </row>
    <row r="711">
      <c r="A711" s="26" t="str">
        <f>IFERROR(__xludf.DUMMYFUNCTION("""COMPUTED_VALUE"""),"US-2014-148838")</f>
        <v>US-2014-148838</v>
      </c>
      <c r="B711" s="27">
        <f>IFERROR(__xludf.DUMMYFUNCTION("""COMPUTED_VALUE"""),41715.0)</f>
        <v>41715</v>
      </c>
      <c r="C711" s="26" t="str">
        <f>IFERROR(__xludf.DUMMYFUNCTION("""COMPUTED_VALUE"""),"Corporate")</f>
        <v>Corporate</v>
      </c>
      <c r="D711" s="26" t="str">
        <f>IFERROR(__xludf.DUMMYFUNCTION("""COMPUTED_VALUE"""),"New York")</f>
        <v>New York</v>
      </c>
      <c r="E711" s="26" t="str">
        <f>IFERROR(__xludf.DUMMYFUNCTION("""COMPUTED_VALUE"""),"East")</f>
        <v>East</v>
      </c>
      <c r="F711" s="26">
        <f>IFERROR(__xludf.DUMMYFUNCTION("""COMPUTED_VALUE"""),1579.746)</f>
        <v>1579.746</v>
      </c>
      <c r="G711" s="26">
        <f>IFERROR(__xludf.DUMMYFUNCTION("""COMPUTED_VALUE"""),7.0)</f>
        <v>7</v>
      </c>
      <c r="H711" s="26">
        <f>IFERROR(__xludf.DUMMYFUNCTION("""COMPUTED_VALUE"""),-447.5947)</f>
        <v>-447.5947</v>
      </c>
    </row>
    <row r="712">
      <c r="A712" s="26" t="str">
        <f>IFERROR(__xludf.DUMMYFUNCTION("""COMPUTED_VALUE"""),"US-2014-164616")</f>
        <v>US-2014-164616</v>
      </c>
      <c r="B712" s="27">
        <f>IFERROR(__xludf.DUMMYFUNCTION("""COMPUTED_VALUE"""),41870.0)</f>
        <v>41870</v>
      </c>
      <c r="C712" s="26" t="str">
        <f>IFERROR(__xludf.DUMMYFUNCTION("""COMPUTED_VALUE"""),"Consumer")</f>
        <v>Consumer</v>
      </c>
      <c r="D712" s="26" t="str">
        <f>IFERROR(__xludf.DUMMYFUNCTION("""COMPUTED_VALUE"""),"Ohio")</f>
        <v>Ohio</v>
      </c>
      <c r="E712" s="26" t="str">
        <f>IFERROR(__xludf.DUMMYFUNCTION("""COMPUTED_VALUE"""),"East")</f>
        <v>East</v>
      </c>
      <c r="F712" s="26">
        <f>IFERROR(__xludf.DUMMYFUNCTION("""COMPUTED_VALUE"""),76.776)</f>
        <v>76.776</v>
      </c>
      <c r="G712" s="26">
        <f>IFERROR(__xludf.DUMMYFUNCTION("""COMPUTED_VALUE"""),4.0)</f>
        <v>4</v>
      </c>
      <c r="H712" s="26">
        <f>IFERROR(__xludf.DUMMYFUNCTION("""COMPUTED_VALUE"""),-58.8616)</f>
        <v>-58.8616</v>
      </c>
    </row>
    <row r="713">
      <c r="A713" s="26" t="str">
        <f>IFERROR(__xludf.DUMMYFUNCTION("""COMPUTED_VALUE"""),"CA-2014-162684")</f>
        <v>CA-2014-162684</v>
      </c>
      <c r="B713" s="27">
        <f>IFERROR(__xludf.DUMMYFUNCTION("""COMPUTED_VALUE"""),41852.0)</f>
        <v>41852</v>
      </c>
      <c r="C713" s="26" t="str">
        <f>IFERROR(__xludf.DUMMYFUNCTION("""COMPUTED_VALUE"""),"Home Office")</f>
        <v>Home Office</v>
      </c>
      <c r="D713" s="26" t="str">
        <f>IFERROR(__xludf.DUMMYFUNCTION("""COMPUTED_VALUE"""),"Pennsylvania")</f>
        <v>Pennsylvania</v>
      </c>
      <c r="E713" s="26" t="str">
        <f>IFERROR(__xludf.DUMMYFUNCTION("""COMPUTED_VALUE"""),"East")</f>
        <v>East</v>
      </c>
      <c r="F713" s="26">
        <f>IFERROR(__xludf.DUMMYFUNCTION("""COMPUTED_VALUE"""),5.68)</f>
        <v>5.68</v>
      </c>
      <c r="G713" s="26">
        <f>IFERROR(__xludf.DUMMYFUNCTION("""COMPUTED_VALUE"""),2.0)</f>
        <v>2</v>
      </c>
      <c r="H713" s="26">
        <f>IFERROR(__xludf.DUMMYFUNCTION("""COMPUTED_VALUE"""),1.917)</f>
        <v>1.917</v>
      </c>
    </row>
    <row r="714">
      <c r="A714" s="26" t="str">
        <f>IFERROR(__xludf.DUMMYFUNCTION("""COMPUTED_VALUE"""),"CA-2014-148586")</f>
        <v>CA-2014-148586</v>
      </c>
      <c r="B714" s="27">
        <f>IFERROR(__xludf.DUMMYFUNCTION("""COMPUTED_VALUE"""),41723.0)</f>
        <v>41723</v>
      </c>
      <c r="C714" s="26" t="str">
        <f>IFERROR(__xludf.DUMMYFUNCTION("""COMPUTED_VALUE"""),"Consumer")</f>
        <v>Consumer</v>
      </c>
      <c r="D714" s="26" t="str">
        <f>IFERROR(__xludf.DUMMYFUNCTION("""COMPUTED_VALUE"""),"New York")</f>
        <v>New York</v>
      </c>
      <c r="E714" s="26" t="str">
        <f>IFERROR(__xludf.DUMMYFUNCTION("""COMPUTED_VALUE"""),"East")</f>
        <v>East</v>
      </c>
      <c r="F714" s="26">
        <f>IFERROR(__xludf.DUMMYFUNCTION("""COMPUTED_VALUE"""),366.786)</f>
        <v>366.786</v>
      </c>
      <c r="G714" s="26">
        <f>IFERROR(__xludf.DUMMYFUNCTION("""COMPUTED_VALUE"""),7.0)</f>
        <v>7</v>
      </c>
      <c r="H714" s="26">
        <f>IFERROR(__xludf.DUMMYFUNCTION("""COMPUTED_VALUE"""),65.2064)</f>
        <v>65.2064</v>
      </c>
    </row>
    <row r="715">
      <c r="A715" s="26" t="str">
        <f>IFERROR(__xludf.DUMMYFUNCTION("""COMPUTED_VALUE"""),"CA-2014-145212")</f>
        <v>CA-2014-145212</v>
      </c>
      <c r="B715" s="27">
        <f>IFERROR(__xludf.DUMMYFUNCTION("""COMPUTED_VALUE"""),41895.0)</f>
        <v>41895</v>
      </c>
      <c r="C715" s="26" t="str">
        <f>IFERROR(__xludf.DUMMYFUNCTION("""COMPUTED_VALUE"""),"Consumer")</f>
        <v>Consumer</v>
      </c>
      <c r="D715" s="26" t="str">
        <f>IFERROR(__xludf.DUMMYFUNCTION("""COMPUTED_VALUE"""),"New York")</f>
        <v>New York</v>
      </c>
      <c r="E715" s="26" t="str">
        <f>IFERROR(__xludf.DUMMYFUNCTION("""COMPUTED_VALUE"""),"East")</f>
        <v>East</v>
      </c>
      <c r="F715" s="26">
        <f>IFERROR(__xludf.DUMMYFUNCTION("""COMPUTED_VALUE"""),5.46)</f>
        <v>5.46</v>
      </c>
      <c r="G715" s="26">
        <f>IFERROR(__xludf.DUMMYFUNCTION("""COMPUTED_VALUE"""),3.0)</f>
        <v>3</v>
      </c>
      <c r="H715" s="26">
        <f>IFERROR(__xludf.DUMMYFUNCTION("""COMPUTED_VALUE"""),1.4742)</f>
        <v>1.4742</v>
      </c>
    </row>
    <row r="716">
      <c r="A716" s="26" t="str">
        <f>IFERROR(__xludf.DUMMYFUNCTION("""COMPUTED_VALUE"""),"CA-2014-144624")</f>
        <v>CA-2014-144624</v>
      </c>
      <c r="B716" s="29">
        <f>IFERROR(__xludf.DUMMYFUNCTION("""COMPUTED_VALUE"""),41962.0)</f>
        <v>41962</v>
      </c>
      <c r="C716" s="26" t="str">
        <f>IFERROR(__xludf.DUMMYFUNCTION("""COMPUTED_VALUE"""),"Consumer")</f>
        <v>Consumer</v>
      </c>
      <c r="D716" s="26" t="str">
        <f>IFERROR(__xludf.DUMMYFUNCTION("""COMPUTED_VALUE"""),"New York")</f>
        <v>New York</v>
      </c>
      <c r="E716" s="26" t="str">
        <f>IFERROR(__xludf.DUMMYFUNCTION("""COMPUTED_VALUE"""),"East")</f>
        <v>East</v>
      </c>
      <c r="F716" s="26">
        <f>IFERROR(__xludf.DUMMYFUNCTION("""COMPUTED_VALUE"""),4548.81)</f>
        <v>4548.81</v>
      </c>
      <c r="G716" s="26">
        <f>IFERROR(__xludf.DUMMYFUNCTION("""COMPUTED_VALUE"""),7.0)</f>
        <v>7</v>
      </c>
      <c r="H716" s="26">
        <f>IFERROR(__xludf.DUMMYFUNCTION("""COMPUTED_VALUE"""),1228.1787)</f>
        <v>1228.1787</v>
      </c>
    </row>
    <row r="717">
      <c r="A717" s="26" t="str">
        <f>IFERROR(__xludf.DUMMYFUNCTION("""COMPUTED_VALUE"""),"CA-2014-106572")</f>
        <v>CA-2014-106572</v>
      </c>
      <c r="B717" s="27">
        <f>IFERROR(__xludf.DUMMYFUNCTION("""COMPUTED_VALUE"""),41887.0)</f>
        <v>41887</v>
      </c>
      <c r="C717" s="26" t="str">
        <f>IFERROR(__xludf.DUMMYFUNCTION("""COMPUTED_VALUE"""),"Consumer")</f>
        <v>Consumer</v>
      </c>
      <c r="D717" s="26" t="str">
        <f>IFERROR(__xludf.DUMMYFUNCTION("""COMPUTED_VALUE"""),"Ohio")</f>
        <v>Ohio</v>
      </c>
      <c r="E717" s="26" t="str">
        <f>IFERROR(__xludf.DUMMYFUNCTION("""COMPUTED_VALUE"""),"East")</f>
        <v>East</v>
      </c>
      <c r="F717" s="26">
        <f>IFERROR(__xludf.DUMMYFUNCTION("""COMPUTED_VALUE"""),264.32)</f>
        <v>264.32</v>
      </c>
      <c r="G717" s="26">
        <f>IFERROR(__xludf.DUMMYFUNCTION("""COMPUTED_VALUE"""),2.0)</f>
        <v>2</v>
      </c>
      <c r="H717" s="26">
        <f>IFERROR(__xludf.DUMMYFUNCTION("""COMPUTED_VALUE"""),19.824)</f>
        <v>19.824</v>
      </c>
    </row>
    <row r="718">
      <c r="A718" s="26" t="str">
        <f>IFERROR(__xludf.DUMMYFUNCTION("""COMPUTED_VALUE"""),"CA-2014-164385")</f>
        <v>CA-2014-164385</v>
      </c>
      <c r="B718" s="27">
        <f>IFERROR(__xludf.DUMMYFUNCTION("""COMPUTED_VALUE"""),41908.0)</f>
        <v>41908</v>
      </c>
      <c r="C718" s="26" t="str">
        <f>IFERROR(__xludf.DUMMYFUNCTION("""COMPUTED_VALUE"""),"Corporate")</f>
        <v>Corporate</v>
      </c>
      <c r="D718" s="26" t="str">
        <f>IFERROR(__xludf.DUMMYFUNCTION("""COMPUTED_VALUE"""),"Pennsylvania")</f>
        <v>Pennsylvania</v>
      </c>
      <c r="E718" s="26" t="str">
        <f>IFERROR(__xludf.DUMMYFUNCTION("""COMPUTED_VALUE"""),"East")</f>
        <v>East</v>
      </c>
      <c r="F718" s="26">
        <f>IFERROR(__xludf.DUMMYFUNCTION("""COMPUTED_VALUE"""),143.952)</f>
        <v>143.952</v>
      </c>
      <c r="G718" s="26">
        <f>IFERROR(__xludf.DUMMYFUNCTION("""COMPUTED_VALUE"""),3.0)</f>
        <v>3</v>
      </c>
      <c r="H718" s="26">
        <f>IFERROR(__xludf.DUMMYFUNCTION("""COMPUTED_VALUE"""),14.3952)</f>
        <v>14.3952</v>
      </c>
    </row>
    <row r="719">
      <c r="A719" s="26" t="str">
        <f>IFERROR(__xludf.DUMMYFUNCTION("""COMPUTED_VALUE"""),"CA-2014-126403")</f>
        <v>CA-2014-126403</v>
      </c>
      <c r="B719" s="27">
        <f>IFERROR(__xludf.DUMMYFUNCTION("""COMPUTED_VALUE"""),41891.0)</f>
        <v>41891</v>
      </c>
      <c r="C719" s="26" t="str">
        <f>IFERROR(__xludf.DUMMYFUNCTION("""COMPUTED_VALUE"""),"Corporate")</f>
        <v>Corporate</v>
      </c>
      <c r="D719" s="26" t="str">
        <f>IFERROR(__xludf.DUMMYFUNCTION("""COMPUTED_VALUE"""),"Massachusetts")</f>
        <v>Massachusetts</v>
      </c>
      <c r="E719" s="26" t="str">
        <f>IFERROR(__xludf.DUMMYFUNCTION("""COMPUTED_VALUE"""),"East")</f>
        <v>East</v>
      </c>
      <c r="F719" s="26">
        <f>IFERROR(__xludf.DUMMYFUNCTION("""COMPUTED_VALUE"""),166.44)</f>
        <v>166.44</v>
      </c>
      <c r="G719" s="26">
        <f>IFERROR(__xludf.DUMMYFUNCTION("""COMPUTED_VALUE"""),3.0)</f>
        <v>3</v>
      </c>
      <c r="H719" s="26">
        <f>IFERROR(__xludf.DUMMYFUNCTION("""COMPUTED_VALUE"""),79.8912)</f>
        <v>79.8912</v>
      </c>
    </row>
    <row r="720">
      <c r="A720" s="26" t="str">
        <f>IFERROR(__xludf.DUMMYFUNCTION("""COMPUTED_VALUE"""),"CA-2014-143413")</f>
        <v>CA-2014-143413</v>
      </c>
      <c r="B720" s="27">
        <f>IFERROR(__xludf.DUMMYFUNCTION("""COMPUTED_VALUE"""),41783.0)</f>
        <v>41783</v>
      </c>
      <c r="C720" s="26" t="str">
        <f>IFERROR(__xludf.DUMMYFUNCTION("""COMPUTED_VALUE"""),"Consumer")</f>
        <v>Consumer</v>
      </c>
      <c r="D720" s="26" t="str">
        <f>IFERROR(__xludf.DUMMYFUNCTION("""COMPUTED_VALUE"""),"Maryland")</f>
        <v>Maryland</v>
      </c>
      <c r="E720" s="26" t="str">
        <f>IFERROR(__xludf.DUMMYFUNCTION("""COMPUTED_VALUE"""),"East")</f>
        <v>East</v>
      </c>
      <c r="F720" s="26">
        <f>IFERROR(__xludf.DUMMYFUNCTION("""COMPUTED_VALUE"""),116.28)</f>
        <v>116.28</v>
      </c>
      <c r="G720" s="26">
        <f>IFERROR(__xludf.DUMMYFUNCTION("""COMPUTED_VALUE"""),3.0)</f>
        <v>3</v>
      </c>
      <c r="H720" s="26">
        <f>IFERROR(__xludf.DUMMYFUNCTION("""COMPUTED_VALUE"""),56.9772)</f>
        <v>56.9772</v>
      </c>
    </row>
    <row r="721">
      <c r="A721" s="26" t="str">
        <f>IFERROR(__xludf.DUMMYFUNCTION("""COMPUTED_VALUE"""),"CA-2014-127187")</f>
        <v>CA-2014-127187</v>
      </c>
      <c r="B721" s="27">
        <f>IFERROR(__xludf.DUMMYFUNCTION("""COMPUTED_VALUE"""),41977.0)</f>
        <v>41977</v>
      </c>
      <c r="C721" s="26" t="str">
        <f>IFERROR(__xludf.DUMMYFUNCTION("""COMPUTED_VALUE"""),"Corporate")</f>
        <v>Corporate</v>
      </c>
      <c r="D721" s="26" t="str">
        <f>IFERROR(__xludf.DUMMYFUNCTION("""COMPUTED_VALUE"""),"New York")</f>
        <v>New York</v>
      </c>
      <c r="E721" s="26" t="str">
        <f>IFERROR(__xludf.DUMMYFUNCTION("""COMPUTED_VALUE"""),"East")</f>
        <v>East</v>
      </c>
      <c r="F721" s="26">
        <f>IFERROR(__xludf.DUMMYFUNCTION("""COMPUTED_VALUE"""),129.98)</f>
        <v>129.98</v>
      </c>
      <c r="G721" s="26">
        <f>IFERROR(__xludf.DUMMYFUNCTION("""COMPUTED_VALUE"""),2.0)</f>
        <v>2</v>
      </c>
      <c r="H721" s="26">
        <f>IFERROR(__xludf.DUMMYFUNCTION("""COMPUTED_VALUE"""),62.3904)</f>
        <v>62.3904</v>
      </c>
    </row>
    <row r="722">
      <c r="A722" s="26" t="str">
        <f>IFERROR(__xludf.DUMMYFUNCTION("""COMPUTED_VALUE"""),"CA-2014-100006")</f>
        <v>CA-2014-100006</v>
      </c>
      <c r="B722" s="27">
        <f>IFERROR(__xludf.DUMMYFUNCTION("""COMPUTED_VALUE"""),41889.0)</f>
        <v>41889</v>
      </c>
      <c r="C722" s="26" t="str">
        <f>IFERROR(__xludf.DUMMYFUNCTION("""COMPUTED_VALUE"""),"Consumer")</f>
        <v>Consumer</v>
      </c>
      <c r="D722" s="26" t="str">
        <f>IFERROR(__xludf.DUMMYFUNCTION("""COMPUTED_VALUE"""),"New York")</f>
        <v>New York</v>
      </c>
      <c r="E722" s="26" t="str">
        <f>IFERROR(__xludf.DUMMYFUNCTION("""COMPUTED_VALUE"""),"East")</f>
        <v>East</v>
      </c>
      <c r="F722" s="26">
        <f>IFERROR(__xludf.DUMMYFUNCTION("""COMPUTED_VALUE"""),377.97)</f>
        <v>377.97</v>
      </c>
      <c r="G722" s="26">
        <f>IFERROR(__xludf.DUMMYFUNCTION("""COMPUTED_VALUE"""),3.0)</f>
        <v>3</v>
      </c>
      <c r="H722" s="26">
        <f>IFERROR(__xludf.DUMMYFUNCTION("""COMPUTED_VALUE"""),109.6113)</f>
        <v>109.6113</v>
      </c>
    </row>
    <row r="723">
      <c r="A723" s="26" t="str">
        <f>IFERROR(__xludf.DUMMYFUNCTION("""COMPUTED_VALUE"""),"CA-2014-107594")</f>
        <v>CA-2014-107594</v>
      </c>
      <c r="B723" s="27">
        <f>IFERROR(__xludf.DUMMYFUNCTION("""COMPUTED_VALUE"""),41822.0)</f>
        <v>41822</v>
      </c>
      <c r="C723" s="26" t="str">
        <f>IFERROR(__xludf.DUMMYFUNCTION("""COMPUTED_VALUE"""),"Consumer")</f>
        <v>Consumer</v>
      </c>
      <c r="D723" s="26" t="str">
        <f>IFERROR(__xludf.DUMMYFUNCTION("""COMPUTED_VALUE"""),"New Jersey")</f>
        <v>New Jersey</v>
      </c>
      <c r="E723" s="26" t="str">
        <f>IFERROR(__xludf.DUMMYFUNCTION("""COMPUTED_VALUE"""),"East")</f>
        <v>East</v>
      </c>
      <c r="F723" s="26">
        <f>IFERROR(__xludf.DUMMYFUNCTION("""COMPUTED_VALUE"""),73.98)</f>
        <v>73.98</v>
      </c>
      <c r="G723" s="26">
        <f>IFERROR(__xludf.DUMMYFUNCTION("""COMPUTED_VALUE"""),2.0)</f>
        <v>2</v>
      </c>
      <c r="H723" s="26">
        <f>IFERROR(__xludf.DUMMYFUNCTION("""COMPUTED_VALUE"""),19.9746)</f>
        <v>19.9746</v>
      </c>
    </row>
    <row r="724">
      <c r="A724" s="26" t="str">
        <f>IFERROR(__xludf.DUMMYFUNCTION("""COMPUTED_VALUE"""),"CA-2014-155887")</f>
        <v>CA-2014-155887</v>
      </c>
      <c r="B724" s="27">
        <f>IFERROR(__xludf.DUMMYFUNCTION("""COMPUTED_VALUE"""),41771.0)</f>
        <v>41771</v>
      </c>
      <c r="C724" s="26" t="str">
        <f>IFERROR(__xludf.DUMMYFUNCTION("""COMPUTED_VALUE"""),"Consumer")</f>
        <v>Consumer</v>
      </c>
      <c r="D724" s="26" t="str">
        <f>IFERROR(__xludf.DUMMYFUNCTION("""COMPUTED_VALUE"""),"Massachusetts")</f>
        <v>Massachusetts</v>
      </c>
      <c r="E724" s="26" t="str">
        <f>IFERROR(__xludf.DUMMYFUNCTION("""COMPUTED_VALUE"""),"East")</f>
        <v>East</v>
      </c>
      <c r="F724" s="26">
        <f>IFERROR(__xludf.DUMMYFUNCTION("""COMPUTED_VALUE"""),700.056)</f>
        <v>700.056</v>
      </c>
      <c r="G724" s="26">
        <f>IFERROR(__xludf.DUMMYFUNCTION("""COMPUTED_VALUE"""),3.0)</f>
        <v>3</v>
      </c>
      <c r="H724" s="26">
        <f>IFERROR(__xludf.DUMMYFUNCTION("""COMPUTED_VALUE"""),-130.0104)</f>
        <v>-130.0104</v>
      </c>
    </row>
    <row r="725">
      <c r="A725" s="26" t="str">
        <f>IFERROR(__xludf.DUMMYFUNCTION("""COMPUTED_VALUE"""),"CA-2014-169033")</f>
        <v>CA-2014-169033</v>
      </c>
      <c r="B725" s="27">
        <f>IFERROR(__xludf.DUMMYFUNCTION("""COMPUTED_VALUE"""),41728.0)</f>
        <v>41728</v>
      </c>
      <c r="C725" s="26" t="str">
        <f>IFERROR(__xludf.DUMMYFUNCTION("""COMPUTED_VALUE"""),"Consumer")</f>
        <v>Consumer</v>
      </c>
      <c r="D725" s="26" t="str">
        <f>IFERROR(__xludf.DUMMYFUNCTION("""COMPUTED_VALUE"""),"New York")</f>
        <v>New York</v>
      </c>
      <c r="E725" s="26" t="str">
        <f>IFERROR(__xludf.DUMMYFUNCTION("""COMPUTED_VALUE"""),"East")</f>
        <v>East</v>
      </c>
      <c r="F725" s="26">
        <f>IFERROR(__xludf.DUMMYFUNCTION("""COMPUTED_VALUE"""),49.65)</f>
        <v>49.65</v>
      </c>
      <c r="G725" s="26">
        <f>IFERROR(__xludf.DUMMYFUNCTION("""COMPUTED_VALUE"""),5.0)</f>
        <v>5</v>
      </c>
      <c r="H725" s="26">
        <f>IFERROR(__xludf.DUMMYFUNCTION("""COMPUTED_VALUE"""),20.853)</f>
        <v>20.853</v>
      </c>
    </row>
    <row r="726">
      <c r="A726" s="26" t="str">
        <f>IFERROR(__xludf.DUMMYFUNCTION("""COMPUTED_VALUE"""),"CA-2014-113929")</f>
        <v>CA-2014-113929</v>
      </c>
      <c r="B726" s="27">
        <f>IFERROR(__xludf.DUMMYFUNCTION("""COMPUTED_VALUE"""),41806.0)</f>
        <v>41806</v>
      </c>
      <c r="C726" s="26" t="str">
        <f>IFERROR(__xludf.DUMMYFUNCTION("""COMPUTED_VALUE"""),"Consumer")</f>
        <v>Consumer</v>
      </c>
      <c r="D726" s="26" t="str">
        <f>IFERROR(__xludf.DUMMYFUNCTION("""COMPUTED_VALUE"""),"New York")</f>
        <v>New York</v>
      </c>
      <c r="E726" s="26" t="str">
        <f>IFERROR(__xludf.DUMMYFUNCTION("""COMPUTED_VALUE"""),"East")</f>
        <v>East</v>
      </c>
      <c r="F726" s="26">
        <f>IFERROR(__xludf.DUMMYFUNCTION("""COMPUTED_VALUE"""),41.4)</f>
        <v>41.4</v>
      </c>
      <c r="G726" s="26">
        <f>IFERROR(__xludf.DUMMYFUNCTION("""COMPUTED_VALUE"""),5.0)</f>
        <v>5</v>
      </c>
      <c r="H726" s="26">
        <f>IFERROR(__xludf.DUMMYFUNCTION("""COMPUTED_VALUE"""),19.458)</f>
        <v>19.458</v>
      </c>
    </row>
    <row r="727">
      <c r="A727" s="26" t="str">
        <f>IFERROR(__xludf.DUMMYFUNCTION("""COMPUTED_VALUE"""),"CA-2014-157721")</f>
        <v>CA-2014-157721</v>
      </c>
      <c r="B727" s="27">
        <f>IFERROR(__xludf.DUMMYFUNCTION("""COMPUTED_VALUE"""),41884.0)</f>
        <v>41884</v>
      </c>
      <c r="C727" s="26" t="str">
        <f>IFERROR(__xludf.DUMMYFUNCTION("""COMPUTED_VALUE"""),"Consumer")</f>
        <v>Consumer</v>
      </c>
      <c r="D727" s="26" t="str">
        <f>IFERROR(__xludf.DUMMYFUNCTION("""COMPUTED_VALUE"""),"New York")</f>
        <v>New York</v>
      </c>
      <c r="E727" s="26" t="str">
        <f>IFERROR(__xludf.DUMMYFUNCTION("""COMPUTED_VALUE"""),"East")</f>
        <v>East</v>
      </c>
      <c r="F727" s="26">
        <f>IFERROR(__xludf.DUMMYFUNCTION("""COMPUTED_VALUE"""),19.9)</f>
        <v>19.9</v>
      </c>
      <c r="G727" s="26">
        <f>IFERROR(__xludf.DUMMYFUNCTION("""COMPUTED_VALUE"""),1.0)</f>
        <v>1</v>
      </c>
      <c r="H727" s="26">
        <f>IFERROR(__xludf.DUMMYFUNCTION("""COMPUTED_VALUE"""),8.955)</f>
        <v>8.955</v>
      </c>
    </row>
    <row r="728">
      <c r="A728" s="26" t="str">
        <f>IFERROR(__xludf.DUMMYFUNCTION("""COMPUTED_VALUE"""),"CA-2014-138317")</f>
        <v>CA-2014-138317</v>
      </c>
      <c r="B728" s="27">
        <f>IFERROR(__xludf.DUMMYFUNCTION("""COMPUTED_VALUE"""),41811.0)</f>
        <v>41811</v>
      </c>
      <c r="C728" s="26" t="str">
        <f>IFERROR(__xludf.DUMMYFUNCTION("""COMPUTED_VALUE"""),"Consumer")</f>
        <v>Consumer</v>
      </c>
      <c r="D728" s="26" t="str">
        <f>IFERROR(__xludf.DUMMYFUNCTION("""COMPUTED_VALUE"""),"Pennsylvania")</f>
        <v>Pennsylvania</v>
      </c>
      <c r="E728" s="26" t="str">
        <f>IFERROR(__xludf.DUMMYFUNCTION("""COMPUTED_VALUE"""),"East")</f>
        <v>East</v>
      </c>
      <c r="F728" s="26">
        <f>IFERROR(__xludf.DUMMYFUNCTION("""COMPUTED_VALUE"""),24.896)</f>
        <v>24.896</v>
      </c>
      <c r="G728" s="26">
        <f>IFERROR(__xludf.DUMMYFUNCTION("""COMPUTED_VALUE"""),4.0)</f>
        <v>4</v>
      </c>
      <c r="H728" s="26">
        <f>IFERROR(__xludf.DUMMYFUNCTION("""COMPUTED_VALUE"""),8.4024)</f>
        <v>8.4024</v>
      </c>
    </row>
    <row r="729">
      <c r="A729" s="26" t="str">
        <f>IFERROR(__xludf.DUMMYFUNCTION("""COMPUTED_VALUE"""),"CA-2014-119375")</f>
        <v>CA-2014-119375</v>
      </c>
      <c r="B729" s="29">
        <f>IFERROR(__xludf.DUMMYFUNCTION("""COMPUTED_VALUE"""),41960.0)</f>
        <v>41960</v>
      </c>
      <c r="C729" s="26" t="str">
        <f>IFERROR(__xludf.DUMMYFUNCTION("""COMPUTED_VALUE"""),"Corporate")</f>
        <v>Corporate</v>
      </c>
      <c r="D729" s="26" t="str">
        <f>IFERROR(__xludf.DUMMYFUNCTION("""COMPUTED_VALUE"""),"Delaware")</f>
        <v>Delaware</v>
      </c>
      <c r="E729" s="26" t="str">
        <f>IFERROR(__xludf.DUMMYFUNCTION("""COMPUTED_VALUE"""),"East")</f>
        <v>East</v>
      </c>
      <c r="F729" s="26">
        <f>IFERROR(__xludf.DUMMYFUNCTION("""COMPUTED_VALUE"""),2934.33)</f>
        <v>2934.33</v>
      </c>
      <c r="G729" s="26">
        <f>IFERROR(__xludf.DUMMYFUNCTION("""COMPUTED_VALUE"""),7.0)</f>
        <v>7</v>
      </c>
      <c r="H729" s="26">
        <f>IFERROR(__xludf.DUMMYFUNCTION("""COMPUTED_VALUE"""),792.2691)</f>
        <v>792.2691</v>
      </c>
    </row>
    <row r="730">
      <c r="A730" s="26" t="str">
        <f>IFERROR(__xludf.DUMMYFUNCTION("""COMPUTED_VALUE"""),"CA-2014-100328")</f>
        <v>CA-2014-100328</v>
      </c>
      <c r="B730" s="27">
        <f>IFERROR(__xludf.DUMMYFUNCTION("""COMPUTED_VALUE"""),41667.0)</f>
        <v>41667</v>
      </c>
      <c r="C730" s="26" t="str">
        <f>IFERROR(__xludf.DUMMYFUNCTION("""COMPUTED_VALUE"""),"Consumer")</f>
        <v>Consumer</v>
      </c>
      <c r="D730" s="26" t="str">
        <f>IFERROR(__xludf.DUMMYFUNCTION("""COMPUTED_VALUE"""),"New York")</f>
        <v>New York</v>
      </c>
      <c r="E730" s="26" t="str">
        <f>IFERROR(__xludf.DUMMYFUNCTION("""COMPUTED_VALUE"""),"East")</f>
        <v>East</v>
      </c>
      <c r="F730" s="26">
        <f>IFERROR(__xludf.DUMMYFUNCTION("""COMPUTED_VALUE"""),3.928)</f>
        <v>3.928</v>
      </c>
      <c r="G730" s="26">
        <f>IFERROR(__xludf.DUMMYFUNCTION("""COMPUTED_VALUE"""),1.0)</f>
        <v>1</v>
      </c>
      <c r="H730" s="26">
        <f>IFERROR(__xludf.DUMMYFUNCTION("""COMPUTED_VALUE"""),1.3257)</f>
        <v>1.3257</v>
      </c>
    </row>
    <row r="731">
      <c r="A731" s="26" t="str">
        <f>IFERROR(__xludf.DUMMYFUNCTION("""COMPUTED_VALUE"""),"CA-2014-107916")</f>
        <v>CA-2014-107916</v>
      </c>
      <c r="B731" s="27">
        <f>IFERROR(__xludf.DUMMYFUNCTION("""COMPUTED_VALUE"""),41875.0)</f>
        <v>41875</v>
      </c>
      <c r="C731" s="26" t="str">
        <f>IFERROR(__xludf.DUMMYFUNCTION("""COMPUTED_VALUE"""),"Corporate")</f>
        <v>Corporate</v>
      </c>
      <c r="D731" s="26" t="str">
        <f>IFERROR(__xludf.DUMMYFUNCTION("""COMPUTED_VALUE"""),"New York")</f>
        <v>New York</v>
      </c>
      <c r="E731" s="26" t="str">
        <f>IFERROR(__xludf.DUMMYFUNCTION("""COMPUTED_VALUE"""),"East")</f>
        <v>East</v>
      </c>
      <c r="F731" s="26">
        <f>IFERROR(__xludf.DUMMYFUNCTION("""COMPUTED_VALUE"""),13.28)</f>
        <v>13.28</v>
      </c>
      <c r="G731" s="26">
        <f>IFERROR(__xludf.DUMMYFUNCTION("""COMPUTED_VALUE"""),2.0)</f>
        <v>2</v>
      </c>
      <c r="H731" s="26">
        <f>IFERROR(__xludf.DUMMYFUNCTION("""COMPUTED_VALUE"""),6.3744)</f>
        <v>6.3744</v>
      </c>
    </row>
    <row r="732">
      <c r="A732" s="26" t="str">
        <f>IFERROR(__xludf.DUMMYFUNCTION("""COMPUTED_VALUE"""),"CA-2014-164224")</f>
        <v>CA-2014-164224</v>
      </c>
      <c r="B732" s="27">
        <f>IFERROR(__xludf.DUMMYFUNCTION("""COMPUTED_VALUE"""),41777.0)</f>
        <v>41777</v>
      </c>
      <c r="C732" s="26" t="str">
        <f>IFERROR(__xludf.DUMMYFUNCTION("""COMPUTED_VALUE"""),"Consumer")</f>
        <v>Consumer</v>
      </c>
      <c r="D732" s="26" t="str">
        <f>IFERROR(__xludf.DUMMYFUNCTION("""COMPUTED_VALUE"""),"Ohio")</f>
        <v>Ohio</v>
      </c>
      <c r="E732" s="26" t="str">
        <f>IFERROR(__xludf.DUMMYFUNCTION("""COMPUTED_VALUE"""),"East")</f>
        <v>East</v>
      </c>
      <c r="F732" s="26">
        <f>IFERROR(__xludf.DUMMYFUNCTION("""COMPUTED_VALUE"""),149.232)</f>
        <v>149.232</v>
      </c>
      <c r="G732" s="26">
        <f>IFERROR(__xludf.DUMMYFUNCTION("""COMPUTED_VALUE"""),3.0)</f>
        <v>3</v>
      </c>
      <c r="H732" s="26">
        <f>IFERROR(__xludf.DUMMYFUNCTION("""COMPUTED_VALUE"""),3.7308)</f>
        <v>3.7308</v>
      </c>
    </row>
    <row r="733">
      <c r="A733" s="26" t="str">
        <f>IFERROR(__xludf.DUMMYFUNCTION("""COMPUTED_VALUE"""),"CA-2014-154641")</f>
        <v>CA-2014-154641</v>
      </c>
      <c r="B733" s="27">
        <f>IFERROR(__xludf.DUMMYFUNCTION("""COMPUTED_VALUE"""),41862.0)</f>
        <v>41862</v>
      </c>
      <c r="C733" s="26" t="str">
        <f>IFERROR(__xludf.DUMMYFUNCTION("""COMPUTED_VALUE"""),"Consumer")</f>
        <v>Consumer</v>
      </c>
      <c r="D733" s="26" t="str">
        <f>IFERROR(__xludf.DUMMYFUNCTION("""COMPUTED_VALUE"""),"New York")</f>
        <v>New York</v>
      </c>
      <c r="E733" s="26" t="str">
        <f>IFERROR(__xludf.DUMMYFUNCTION("""COMPUTED_VALUE"""),"East")</f>
        <v>East</v>
      </c>
      <c r="F733" s="26">
        <f>IFERROR(__xludf.DUMMYFUNCTION("""COMPUTED_VALUE"""),375.34)</f>
        <v>375.34</v>
      </c>
      <c r="G733" s="26">
        <f>IFERROR(__xludf.DUMMYFUNCTION("""COMPUTED_VALUE"""),1.0)</f>
        <v>1</v>
      </c>
      <c r="H733" s="26">
        <f>IFERROR(__xludf.DUMMYFUNCTION("""COMPUTED_VALUE"""),18.767)</f>
        <v>18.767</v>
      </c>
    </row>
    <row r="734">
      <c r="A734" s="26" t="str">
        <f>IFERROR(__xludf.DUMMYFUNCTION("""COMPUTED_VALUE"""),"US-2014-126571")</f>
        <v>US-2014-126571</v>
      </c>
      <c r="B734" s="29">
        <f>IFERROR(__xludf.DUMMYFUNCTION("""COMPUTED_VALUE"""),41923.0)</f>
        <v>41923</v>
      </c>
      <c r="C734" s="26" t="str">
        <f>IFERROR(__xludf.DUMMYFUNCTION("""COMPUTED_VALUE"""),"Consumer")</f>
        <v>Consumer</v>
      </c>
      <c r="D734" s="26" t="str">
        <f>IFERROR(__xludf.DUMMYFUNCTION("""COMPUTED_VALUE"""),"Pennsylvania")</f>
        <v>Pennsylvania</v>
      </c>
      <c r="E734" s="26" t="str">
        <f>IFERROR(__xludf.DUMMYFUNCTION("""COMPUTED_VALUE"""),"East")</f>
        <v>East</v>
      </c>
      <c r="F734" s="26">
        <f>IFERROR(__xludf.DUMMYFUNCTION("""COMPUTED_VALUE"""),281.904)</f>
        <v>281.904</v>
      </c>
      <c r="G734" s="26">
        <f>IFERROR(__xludf.DUMMYFUNCTION("""COMPUTED_VALUE"""),2.0)</f>
        <v>2</v>
      </c>
      <c r="H734" s="26">
        <f>IFERROR(__xludf.DUMMYFUNCTION("""COMPUTED_VALUE"""),10.5714)</f>
        <v>10.5714</v>
      </c>
    </row>
    <row r="735">
      <c r="A735" s="26" t="str">
        <f>IFERROR(__xludf.DUMMYFUNCTION("""COMPUTED_VALUE"""),"CA-2014-159478")</f>
        <v>CA-2014-159478</v>
      </c>
      <c r="B735" s="27">
        <f>IFERROR(__xludf.DUMMYFUNCTION("""COMPUTED_VALUE"""),41912.0)</f>
        <v>41912</v>
      </c>
      <c r="C735" s="26" t="str">
        <f>IFERROR(__xludf.DUMMYFUNCTION("""COMPUTED_VALUE"""),"Corporate")</f>
        <v>Corporate</v>
      </c>
      <c r="D735" s="26" t="str">
        <f>IFERROR(__xludf.DUMMYFUNCTION("""COMPUTED_VALUE"""),"New York")</f>
        <v>New York</v>
      </c>
      <c r="E735" s="26" t="str">
        <f>IFERROR(__xludf.DUMMYFUNCTION("""COMPUTED_VALUE"""),"East")</f>
        <v>East</v>
      </c>
      <c r="F735" s="26">
        <f>IFERROR(__xludf.DUMMYFUNCTION("""COMPUTED_VALUE"""),15.24)</f>
        <v>15.24</v>
      </c>
      <c r="G735" s="26">
        <f>IFERROR(__xludf.DUMMYFUNCTION("""COMPUTED_VALUE"""),3.0)</f>
        <v>3</v>
      </c>
      <c r="H735" s="26">
        <f>IFERROR(__xludf.DUMMYFUNCTION("""COMPUTED_VALUE"""),5.1816)</f>
        <v>5.1816</v>
      </c>
    </row>
    <row r="736">
      <c r="A736" s="26" t="str">
        <f>IFERROR(__xludf.DUMMYFUNCTION("""COMPUTED_VALUE"""),"CA-2014-103702")</f>
        <v>CA-2014-103702</v>
      </c>
      <c r="B736" s="27">
        <f>IFERROR(__xludf.DUMMYFUNCTION("""COMPUTED_VALUE"""),41894.0)</f>
        <v>41894</v>
      </c>
      <c r="C736" s="26" t="str">
        <f>IFERROR(__xludf.DUMMYFUNCTION("""COMPUTED_VALUE"""),"Consumer")</f>
        <v>Consumer</v>
      </c>
      <c r="D736" s="26" t="str">
        <f>IFERROR(__xludf.DUMMYFUNCTION("""COMPUTED_VALUE"""),"Ohio")</f>
        <v>Ohio</v>
      </c>
      <c r="E736" s="26" t="str">
        <f>IFERROR(__xludf.DUMMYFUNCTION("""COMPUTED_VALUE"""),"East")</f>
        <v>East</v>
      </c>
      <c r="F736" s="26">
        <f>IFERROR(__xludf.DUMMYFUNCTION("""COMPUTED_VALUE"""),63.924)</f>
        <v>63.924</v>
      </c>
      <c r="G736" s="26">
        <f>IFERROR(__xludf.DUMMYFUNCTION("""COMPUTED_VALUE"""),7.0)</f>
        <v>7</v>
      </c>
      <c r="H736" s="26">
        <f>IFERROR(__xludf.DUMMYFUNCTION("""COMPUTED_VALUE"""),-46.8776)</f>
        <v>-46.8776</v>
      </c>
    </row>
    <row r="737">
      <c r="A737" s="26" t="str">
        <f>IFERROR(__xludf.DUMMYFUNCTION("""COMPUTED_VALUE"""),"US-2014-159926")</f>
        <v>US-2014-159926</v>
      </c>
      <c r="B737" s="29">
        <f>IFERROR(__xludf.DUMMYFUNCTION("""COMPUTED_VALUE"""),41961.0)</f>
        <v>41961</v>
      </c>
      <c r="C737" s="26" t="str">
        <f>IFERROR(__xludf.DUMMYFUNCTION("""COMPUTED_VALUE"""),"Consumer")</f>
        <v>Consumer</v>
      </c>
      <c r="D737" s="26" t="str">
        <f>IFERROR(__xludf.DUMMYFUNCTION("""COMPUTED_VALUE"""),"Pennsylvania")</f>
        <v>Pennsylvania</v>
      </c>
      <c r="E737" s="26" t="str">
        <f>IFERROR(__xludf.DUMMYFUNCTION("""COMPUTED_VALUE"""),"East")</f>
        <v>East</v>
      </c>
      <c r="F737" s="26">
        <f>IFERROR(__xludf.DUMMYFUNCTION("""COMPUTED_VALUE"""),50.997)</f>
        <v>50.997</v>
      </c>
      <c r="G737" s="26">
        <f>IFERROR(__xludf.DUMMYFUNCTION("""COMPUTED_VALUE"""),1.0)</f>
        <v>1</v>
      </c>
      <c r="H737" s="26">
        <f>IFERROR(__xludf.DUMMYFUNCTION("""COMPUTED_VALUE"""),-40.7976)</f>
        <v>-40.7976</v>
      </c>
    </row>
    <row r="738">
      <c r="A738" s="26" t="str">
        <f>IFERROR(__xludf.DUMMYFUNCTION("""COMPUTED_VALUE"""),"US-2014-150434")</f>
        <v>US-2014-150434</v>
      </c>
      <c r="B738" s="27">
        <f>IFERROR(__xludf.DUMMYFUNCTION("""COMPUTED_VALUE"""),41839.0)</f>
        <v>41839</v>
      </c>
      <c r="C738" s="26" t="str">
        <f>IFERROR(__xludf.DUMMYFUNCTION("""COMPUTED_VALUE"""),"Corporate")</f>
        <v>Corporate</v>
      </c>
      <c r="D738" s="26" t="str">
        <f>IFERROR(__xludf.DUMMYFUNCTION("""COMPUTED_VALUE"""),"Connecticut")</f>
        <v>Connecticut</v>
      </c>
      <c r="E738" s="26" t="str">
        <f>IFERROR(__xludf.DUMMYFUNCTION("""COMPUTED_VALUE"""),"East")</f>
        <v>East</v>
      </c>
      <c r="F738" s="26">
        <f>IFERROR(__xludf.DUMMYFUNCTION("""COMPUTED_VALUE"""),359.98)</f>
        <v>359.98</v>
      </c>
      <c r="G738" s="26">
        <f>IFERROR(__xludf.DUMMYFUNCTION("""COMPUTED_VALUE"""),2.0)</f>
        <v>2</v>
      </c>
      <c r="H738" s="26">
        <f>IFERROR(__xludf.DUMMYFUNCTION("""COMPUTED_VALUE"""),93.5948)</f>
        <v>93.5948</v>
      </c>
    </row>
    <row r="739">
      <c r="A739" s="26" t="str">
        <f>IFERROR(__xludf.DUMMYFUNCTION("""COMPUTED_VALUE"""),"US-2014-150119")</f>
        <v>US-2014-150119</v>
      </c>
      <c r="B739" s="27">
        <f>IFERROR(__xludf.DUMMYFUNCTION("""COMPUTED_VALUE"""),41752.0)</f>
        <v>41752</v>
      </c>
      <c r="C739" s="26" t="str">
        <f>IFERROR(__xludf.DUMMYFUNCTION("""COMPUTED_VALUE"""),"Home Office")</f>
        <v>Home Office</v>
      </c>
      <c r="D739" s="26" t="str">
        <f>IFERROR(__xludf.DUMMYFUNCTION("""COMPUTED_VALUE"""),"Ohio")</f>
        <v>Ohio</v>
      </c>
      <c r="E739" s="26" t="str">
        <f>IFERROR(__xludf.DUMMYFUNCTION("""COMPUTED_VALUE"""),"East")</f>
        <v>East</v>
      </c>
      <c r="F739" s="26">
        <f>IFERROR(__xludf.DUMMYFUNCTION("""COMPUTED_VALUE"""),281.372)</f>
        <v>281.372</v>
      </c>
      <c r="G739" s="26">
        <f>IFERROR(__xludf.DUMMYFUNCTION("""COMPUTED_VALUE"""),2.0)</f>
        <v>2</v>
      </c>
      <c r="H739" s="26">
        <f>IFERROR(__xludf.DUMMYFUNCTION("""COMPUTED_VALUE"""),-12.0588)</f>
        <v>-12.0588</v>
      </c>
    </row>
    <row r="740">
      <c r="A740" s="26" t="str">
        <f>IFERROR(__xludf.DUMMYFUNCTION("""COMPUTED_VALUE"""),"CA-2014-158337")</f>
        <v>CA-2014-158337</v>
      </c>
      <c r="B740" s="27">
        <f>IFERROR(__xludf.DUMMYFUNCTION("""COMPUTED_VALUE"""),41709.0)</f>
        <v>41709</v>
      </c>
      <c r="C740" s="26" t="str">
        <f>IFERROR(__xludf.DUMMYFUNCTION("""COMPUTED_VALUE"""),"Consumer")</f>
        <v>Consumer</v>
      </c>
      <c r="D740" s="26" t="str">
        <f>IFERROR(__xludf.DUMMYFUNCTION("""COMPUTED_VALUE"""),"New York")</f>
        <v>New York</v>
      </c>
      <c r="E740" s="26" t="str">
        <f>IFERROR(__xludf.DUMMYFUNCTION("""COMPUTED_VALUE"""),"East")</f>
        <v>East</v>
      </c>
      <c r="F740" s="26">
        <f>IFERROR(__xludf.DUMMYFUNCTION("""COMPUTED_VALUE"""),108.92)</f>
        <v>108.92</v>
      </c>
      <c r="G740" s="26">
        <f>IFERROR(__xludf.DUMMYFUNCTION("""COMPUTED_VALUE"""),14.0)</f>
        <v>14</v>
      </c>
      <c r="H740" s="26">
        <f>IFERROR(__xludf.DUMMYFUNCTION("""COMPUTED_VALUE"""),49.014)</f>
        <v>49.014</v>
      </c>
    </row>
    <row r="741">
      <c r="A741" s="26" t="str">
        <f>IFERROR(__xludf.DUMMYFUNCTION("""COMPUTED_VALUE"""),"CA-2014-102869")</f>
        <v>CA-2014-102869</v>
      </c>
      <c r="B741" s="27">
        <f>IFERROR(__xludf.DUMMYFUNCTION("""COMPUTED_VALUE"""),41891.0)</f>
        <v>41891</v>
      </c>
      <c r="C741" s="26" t="str">
        <f>IFERROR(__xludf.DUMMYFUNCTION("""COMPUTED_VALUE"""),"Consumer")</f>
        <v>Consumer</v>
      </c>
      <c r="D741" s="26" t="str">
        <f>IFERROR(__xludf.DUMMYFUNCTION("""COMPUTED_VALUE"""),"Pennsylvania")</f>
        <v>Pennsylvania</v>
      </c>
      <c r="E741" s="26" t="str">
        <f>IFERROR(__xludf.DUMMYFUNCTION("""COMPUTED_VALUE"""),"East")</f>
        <v>East</v>
      </c>
      <c r="F741" s="26">
        <f>IFERROR(__xludf.DUMMYFUNCTION("""COMPUTED_VALUE"""),15.552)</f>
        <v>15.552</v>
      </c>
      <c r="G741" s="26">
        <f>IFERROR(__xludf.DUMMYFUNCTION("""COMPUTED_VALUE"""),3.0)</f>
        <v>3</v>
      </c>
      <c r="H741" s="26">
        <f>IFERROR(__xludf.DUMMYFUNCTION("""COMPUTED_VALUE"""),5.4432)</f>
        <v>5.4432</v>
      </c>
    </row>
    <row r="742">
      <c r="A742" s="26" t="str">
        <f>IFERROR(__xludf.DUMMYFUNCTION("""COMPUTED_VALUE"""),"CA-2014-159835")</f>
        <v>CA-2014-159835</v>
      </c>
      <c r="B742" s="29">
        <f>IFERROR(__xludf.DUMMYFUNCTION("""COMPUTED_VALUE"""),41960.0)</f>
        <v>41960</v>
      </c>
      <c r="C742" s="26" t="str">
        <f>IFERROR(__xludf.DUMMYFUNCTION("""COMPUTED_VALUE"""),"Consumer")</f>
        <v>Consumer</v>
      </c>
      <c r="D742" s="26" t="str">
        <f>IFERROR(__xludf.DUMMYFUNCTION("""COMPUTED_VALUE"""),"Pennsylvania")</f>
        <v>Pennsylvania</v>
      </c>
      <c r="E742" s="26" t="str">
        <f>IFERROR(__xludf.DUMMYFUNCTION("""COMPUTED_VALUE"""),"East")</f>
        <v>East</v>
      </c>
      <c r="F742" s="26">
        <f>IFERROR(__xludf.DUMMYFUNCTION("""COMPUTED_VALUE"""),12.448)</f>
        <v>12.448</v>
      </c>
      <c r="G742" s="26">
        <f>IFERROR(__xludf.DUMMYFUNCTION("""COMPUTED_VALUE"""),2.0)</f>
        <v>2</v>
      </c>
      <c r="H742" s="26">
        <f>IFERROR(__xludf.DUMMYFUNCTION("""COMPUTED_VALUE"""),3.89)</f>
        <v>3.89</v>
      </c>
    </row>
    <row r="743">
      <c r="A743" s="26" t="str">
        <f>IFERROR(__xludf.DUMMYFUNCTION("""COMPUTED_VALUE"""),"CA-2014-163559")</f>
        <v>CA-2014-163559</v>
      </c>
      <c r="B743" s="27">
        <f>IFERROR(__xludf.DUMMYFUNCTION("""COMPUTED_VALUE"""),41905.0)</f>
        <v>41905</v>
      </c>
      <c r="C743" s="26" t="str">
        <f>IFERROR(__xludf.DUMMYFUNCTION("""COMPUTED_VALUE"""),"Consumer")</f>
        <v>Consumer</v>
      </c>
      <c r="D743" s="26" t="str">
        <f>IFERROR(__xludf.DUMMYFUNCTION("""COMPUTED_VALUE"""),"New York")</f>
        <v>New York</v>
      </c>
      <c r="E743" s="26" t="str">
        <f>IFERROR(__xludf.DUMMYFUNCTION("""COMPUTED_VALUE"""),"East")</f>
        <v>East</v>
      </c>
      <c r="F743" s="26">
        <f>IFERROR(__xludf.DUMMYFUNCTION("""COMPUTED_VALUE"""),139.44)</f>
        <v>139.44</v>
      </c>
      <c r="G743" s="26">
        <f>IFERROR(__xludf.DUMMYFUNCTION("""COMPUTED_VALUE"""),3.0)</f>
        <v>3</v>
      </c>
      <c r="H743" s="26">
        <f>IFERROR(__xludf.DUMMYFUNCTION("""COMPUTED_VALUE"""),47.061)</f>
        <v>47.061</v>
      </c>
    </row>
    <row r="744">
      <c r="A744" s="26" t="str">
        <f>IFERROR(__xludf.DUMMYFUNCTION("""COMPUTED_VALUE"""),"CA-2014-140228")</f>
        <v>CA-2014-140228</v>
      </c>
      <c r="B744" s="27">
        <f>IFERROR(__xludf.DUMMYFUNCTION("""COMPUTED_VALUE"""),41757.0)</f>
        <v>41757</v>
      </c>
      <c r="C744" s="26" t="str">
        <f>IFERROR(__xludf.DUMMYFUNCTION("""COMPUTED_VALUE"""),"Corporate")</f>
        <v>Corporate</v>
      </c>
      <c r="D744" s="26" t="str">
        <f>IFERROR(__xludf.DUMMYFUNCTION("""COMPUTED_VALUE"""),"Ohio")</f>
        <v>Ohio</v>
      </c>
      <c r="E744" s="26" t="str">
        <f>IFERROR(__xludf.DUMMYFUNCTION("""COMPUTED_VALUE"""),"East")</f>
        <v>East</v>
      </c>
      <c r="F744" s="26">
        <f>IFERROR(__xludf.DUMMYFUNCTION("""COMPUTED_VALUE"""),6.912)</f>
        <v>6.912</v>
      </c>
      <c r="G744" s="26">
        <f>IFERROR(__xludf.DUMMYFUNCTION("""COMPUTED_VALUE"""),3.0)</f>
        <v>3</v>
      </c>
      <c r="H744" s="26">
        <f>IFERROR(__xludf.DUMMYFUNCTION("""COMPUTED_VALUE"""),2.5056)</f>
        <v>2.5056</v>
      </c>
    </row>
    <row r="745">
      <c r="A745" s="26" t="str">
        <f>IFERROR(__xludf.DUMMYFUNCTION("""COMPUTED_VALUE"""),"CA-2014-105984")</f>
        <v>CA-2014-105984</v>
      </c>
      <c r="B745" s="29">
        <f>IFERROR(__xludf.DUMMYFUNCTION("""COMPUTED_VALUE"""),41967.0)</f>
        <v>41967</v>
      </c>
      <c r="C745" s="26" t="str">
        <f>IFERROR(__xludf.DUMMYFUNCTION("""COMPUTED_VALUE"""),"Corporate")</f>
        <v>Corporate</v>
      </c>
      <c r="D745" s="26" t="str">
        <f>IFERROR(__xludf.DUMMYFUNCTION("""COMPUTED_VALUE"""),"Ohio")</f>
        <v>Ohio</v>
      </c>
      <c r="E745" s="26" t="str">
        <f>IFERROR(__xludf.DUMMYFUNCTION("""COMPUTED_VALUE"""),"East")</f>
        <v>East</v>
      </c>
      <c r="F745" s="26">
        <f>IFERROR(__xludf.DUMMYFUNCTION("""COMPUTED_VALUE"""),1049.97)</f>
        <v>1049.97</v>
      </c>
      <c r="G745" s="26">
        <f>IFERROR(__xludf.DUMMYFUNCTION("""COMPUTED_VALUE"""),5.0)</f>
        <v>5</v>
      </c>
      <c r="H745" s="26">
        <f>IFERROR(__xludf.DUMMYFUNCTION("""COMPUTED_VALUE"""),-209.994)</f>
        <v>-209.994</v>
      </c>
    </row>
    <row r="746">
      <c r="A746" s="26" t="str">
        <f>IFERROR(__xludf.DUMMYFUNCTION("""COMPUTED_VALUE"""),"CA-2014-135755")</f>
        <v>CA-2014-135755</v>
      </c>
      <c r="B746" s="27">
        <f>IFERROR(__xludf.DUMMYFUNCTION("""COMPUTED_VALUE"""),41762.0)</f>
        <v>41762</v>
      </c>
      <c r="C746" s="26" t="str">
        <f>IFERROR(__xludf.DUMMYFUNCTION("""COMPUTED_VALUE"""),"Consumer")</f>
        <v>Consumer</v>
      </c>
      <c r="D746" s="26" t="str">
        <f>IFERROR(__xludf.DUMMYFUNCTION("""COMPUTED_VALUE"""),"New York")</f>
        <v>New York</v>
      </c>
      <c r="E746" s="26" t="str">
        <f>IFERROR(__xludf.DUMMYFUNCTION("""COMPUTED_VALUE"""),"East")</f>
        <v>East</v>
      </c>
      <c r="F746" s="26">
        <f>IFERROR(__xludf.DUMMYFUNCTION("""COMPUTED_VALUE"""),40.176)</f>
        <v>40.176</v>
      </c>
      <c r="G746" s="26">
        <f>IFERROR(__xludf.DUMMYFUNCTION("""COMPUTED_VALUE"""),3.0)</f>
        <v>3</v>
      </c>
      <c r="H746" s="26">
        <f>IFERROR(__xludf.DUMMYFUNCTION("""COMPUTED_VALUE"""),14.5638)</f>
        <v>14.5638</v>
      </c>
    </row>
    <row r="747">
      <c r="A747" s="26" t="str">
        <f>IFERROR(__xludf.DUMMYFUNCTION("""COMPUTED_VALUE"""),"CA-2014-121167")</f>
        <v>CA-2014-121167</v>
      </c>
      <c r="B747" s="29">
        <f>IFERROR(__xludf.DUMMYFUNCTION("""COMPUTED_VALUE"""),41971.0)</f>
        <v>41971</v>
      </c>
      <c r="C747" s="26" t="str">
        <f>IFERROR(__xludf.DUMMYFUNCTION("""COMPUTED_VALUE"""),"Consumer")</f>
        <v>Consumer</v>
      </c>
      <c r="D747" s="26" t="str">
        <f>IFERROR(__xludf.DUMMYFUNCTION("""COMPUTED_VALUE"""),"New York")</f>
        <v>New York</v>
      </c>
      <c r="E747" s="26" t="str">
        <f>IFERROR(__xludf.DUMMYFUNCTION("""COMPUTED_VALUE"""),"East")</f>
        <v>East</v>
      </c>
      <c r="F747" s="26">
        <f>IFERROR(__xludf.DUMMYFUNCTION("""COMPUTED_VALUE"""),17.248)</f>
        <v>17.248</v>
      </c>
      <c r="G747" s="26">
        <f>IFERROR(__xludf.DUMMYFUNCTION("""COMPUTED_VALUE"""),2.0)</f>
        <v>2</v>
      </c>
      <c r="H747" s="26">
        <f>IFERROR(__xludf.DUMMYFUNCTION("""COMPUTED_VALUE"""),6.0368)</f>
        <v>6.0368</v>
      </c>
    </row>
    <row r="748">
      <c r="A748" s="26" t="str">
        <f>IFERROR(__xludf.DUMMYFUNCTION("""COMPUTED_VALUE"""),"CA-2014-114517")</f>
        <v>CA-2014-114517</v>
      </c>
      <c r="B748" s="29">
        <f>IFERROR(__xludf.DUMMYFUNCTION("""COMPUTED_VALUE"""),41996.0)</f>
        <v>41996</v>
      </c>
      <c r="C748" s="26" t="str">
        <f>IFERROR(__xludf.DUMMYFUNCTION("""COMPUTED_VALUE"""),"Corporate")</f>
        <v>Corporate</v>
      </c>
      <c r="D748" s="26" t="str">
        <f>IFERROR(__xludf.DUMMYFUNCTION("""COMPUTED_VALUE"""),"New York")</f>
        <v>New York</v>
      </c>
      <c r="E748" s="26" t="str">
        <f>IFERROR(__xludf.DUMMYFUNCTION("""COMPUTED_VALUE"""),"East")</f>
        <v>East</v>
      </c>
      <c r="F748" s="26">
        <f>IFERROR(__xludf.DUMMYFUNCTION("""COMPUTED_VALUE"""),53.316)</f>
        <v>53.316</v>
      </c>
      <c r="G748" s="26">
        <f>IFERROR(__xludf.DUMMYFUNCTION("""COMPUTED_VALUE"""),2.0)</f>
        <v>2</v>
      </c>
      <c r="H748" s="26">
        <f>IFERROR(__xludf.DUMMYFUNCTION("""COMPUTED_VALUE"""),-19.5492)</f>
        <v>-19.5492</v>
      </c>
    </row>
    <row r="749">
      <c r="A749" s="26" t="str">
        <f>IFERROR(__xludf.DUMMYFUNCTION("""COMPUTED_VALUE"""),"CA-2014-122588")</f>
        <v>CA-2014-122588</v>
      </c>
      <c r="B749" s="29">
        <f>IFERROR(__xludf.DUMMYFUNCTION("""COMPUTED_VALUE"""),41968.0)</f>
        <v>41968</v>
      </c>
      <c r="C749" s="26" t="str">
        <f>IFERROR(__xludf.DUMMYFUNCTION("""COMPUTED_VALUE"""),"Consumer")</f>
        <v>Consumer</v>
      </c>
      <c r="D749" s="26" t="str">
        <f>IFERROR(__xludf.DUMMYFUNCTION("""COMPUTED_VALUE"""),"Rhode Island")</f>
        <v>Rhode Island</v>
      </c>
      <c r="E749" s="26" t="str">
        <f>IFERROR(__xludf.DUMMYFUNCTION("""COMPUTED_VALUE"""),"East")</f>
        <v>East</v>
      </c>
      <c r="F749" s="26">
        <f>IFERROR(__xludf.DUMMYFUNCTION("""COMPUTED_VALUE"""),52.96)</f>
        <v>52.96</v>
      </c>
      <c r="G749" s="26">
        <f>IFERROR(__xludf.DUMMYFUNCTION("""COMPUTED_VALUE"""),2.0)</f>
        <v>2</v>
      </c>
      <c r="H749" s="26">
        <f>IFERROR(__xludf.DUMMYFUNCTION("""COMPUTED_VALUE"""),20.1248)</f>
        <v>20.1248</v>
      </c>
    </row>
    <row r="750">
      <c r="A750" s="26" t="str">
        <f>IFERROR(__xludf.DUMMYFUNCTION("""COMPUTED_VALUE"""),"CA-2014-137589")</f>
        <v>CA-2014-137589</v>
      </c>
      <c r="B750" s="27">
        <f>IFERROR(__xludf.DUMMYFUNCTION("""COMPUTED_VALUE"""),41946.0)</f>
        <v>41946</v>
      </c>
      <c r="C750" s="26" t="str">
        <f>IFERROR(__xludf.DUMMYFUNCTION("""COMPUTED_VALUE"""),"Consumer")</f>
        <v>Consumer</v>
      </c>
      <c r="D750" s="26" t="str">
        <f>IFERROR(__xludf.DUMMYFUNCTION("""COMPUTED_VALUE"""),"Pennsylvania")</f>
        <v>Pennsylvania</v>
      </c>
      <c r="E750" s="26" t="str">
        <f>IFERROR(__xludf.DUMMYFUNCTION("""COMPUTED_VALUE"""),"East")</f>
        <v>East</v>
      </c>
      <c r="F750" s="26">
        <f>IFERROR(__xludf.DUMMYFUNCTION("""COMPUTED_VALUE"""),286.344)</f>
        <v>286.344</v>
      </c>
      <c r="G750" s="26">
        <f>IFERROR(__xludf.DUMMYFUNCTION("""COMPUTED_VALUE"""),3.0)</f>
        <v>3</v>
      </c>
      <c r="H750" s="26">
        <f>IFERROR(__xludf.DUMMYFUNCTION("""COMPUTED_VALUE"""),-64.4274)</f>
        <v>-64.4274</v>
      </c>
    </row>
    <row r="751">
      <c r="A751" s="26" t="str">
        <f>IFERROR(__xludf.DUMMYFUNCTION("""COMPUTED_VALUE"""),"CA-2014-154963")</f>
        <v>CA-2014-154963</v>
      </c>
      <c r="B751" s="27">
        <f>IFERROR(__xludf.DUMMYFUNCTION("""COMPUTED_VALUE"""),41812.0)</f>
        <v>41812</v>
      </c>
      <c r="C751" s="26" t="str">
        <f>IFERROR(__xludf.DUMMYFUNCTION("""COMPUTED_VALUE"""),"Consumer")</f>
        <v>Consumer</v>
      </c>
      <c r="D751" s="26" t="str">
        <f>IFERROR(__xludf.DUMMYFUNCTION("""COMPUTED_VALUE"""),"Pennsylvania")</f>
        <v>Pennsylvania</v>
      </c>
      <c r="E751" s="26" t="str">
        <f>IFERROR(__xludf.DUMMYFUNCTION("""COMPUTED_VALUE"""),"East")</f>
        <v>East</v>
      </c>
      <c r="F751" s="26">
        <f>IFERROR(__xludf.DUMMYFUNCTION("""COMPUTED_VALUE"""),170.058)</f>
        <v>170.058</v>
      </c>
      <c r="G751" s="26">
        <f>IFERROR(__xludf.DUMMYFUNCTION("""COMPUTED_VALUE"""),3.0)</f>
        <v>3</v>
      </c>
      <c r="H751" s="26">
        <f>IFERROR(__xludf.DUMMYFUNCTION("""COMPUTED_VALUE"""),-4.8588)</f>
        <v>-4.8588</v>
      </c>
    </row>
    <row r="752">
      <c r="A752" s="26" t="str">
        <f>IFERROR(__xludf.DUMMYFUNCTION("""COMPUTED_VALUE"""),"CA-2014-122931")</f>
        <v>CA-2014-122931</v>
      </c>
      <c r="B752" s="27">
        <f>IFERROR(__xludf.DUMMYFUNCTION("""COMPUTED_VALUE"""),41911.0)</f>
        <v>41911</v>
      </c>
      <c r="C752" s="26" t="str">
        <f>IFERROR(__xludf.DUMMYFUNCTION("""COMPUTED_VALUE"""),"Corporate")</f>
        <v>Corporate</v>
      </c>
      <c r="D752" s="26" t="str">
        <f>IFERROR(__xludf.DUMMYFUNCTION("""COMPUTED_VALUE"""),"Pennsylvania")</f>
        <v>Pennsylvania</v>
      </c>
      <c r="E752" s="26" t="str">
        <f>IFERROR(__xludf.DUMMYFUNCTION("""COMPUTED_VALUE"""),"East")</f>
        <v>East</v>
      </c>
      <c r="F752" s="26">
        <f>IFERROR(__xludf.DUMMYFUNCTION("""COMPUTED_VALUE"""),4.224)</f>
        <v>4.224</v>
      </c>
      <c r="G752" s="26">
        <f>IFERROR(__xludf.DUMMYFUNCTION("""COMPUTED_VALUE"""),3.0)</f>
        <v>3</v>
      </c>
      <c r="H752" s="26">
        <f>IFERROR(__xludf.DUMMYFUNCTION("""COMPUTED_VALUE"""),1.4784)</f>
        <v>1.4784</v>
      </c>
    </row>
    <row r="753">
      <c r="A753" s="26" t="str">
        <f>IFERROR(__xludf.DUMMYFUNCTION("""COMPUTED_VALUE"""),"CA-2014-127523")</f>
        <v>CA-2014-127523</v>
      </c>
      <c r="B753" s="27">
        <f>IFERROR(__xludf.DUMMYFUNCTION("""COMPUTED_VALUE"""),41770.0)</f>
        <v>41770</v>
      </c>
      <c r="C753" s="26" t="str">
        <f>IFERROR(__xludf.DUMMYFUNCTION("""COMPUTED_VALUE"""),"Corporate")</f>
        <v>Corporate</v>
      </c>
      <c r="D753" s="26" t="str">
        <f>IFERROR(__xludf.DUMMYFUNCTION("""COMPUTED_VALUE"""),"New York")</f>
        <v>New York</v>
      </c>
      <c r="E753" s="26" t="str">
        <f>IFERROR(__xludf.DUMMYFUNCTION("""COMPUTED_VALUE"""),"East")</f>
        <v>East</v>
      </c>
      <c r="F753" s="26">
        <f>IFERROR(__xludf.DUMMYFUNCTION("""COMPUTED_VALUE"""),35.91)</f>
        <v>35.91</v>
      </c>
      <c r="G753" s="26">
        <f>IFERROR(__xludf.DUMMYFUNCTION("""COMPUTED_VALUE"""),3.0)</f>
        <v>3</v>
      </c>
      <c r="H753" s="26">
        <f>IFERROR(__xludf.DUMMYFUNCTION("""COMPUTED_VALUE"""),9.6957)</f>
        <v>9.6957</v>
      </c>
    </row>
    <row r="754">
      <c r="A754" s="26" t="str">
        <f>IFERROR(__xludf.DUMMYFUNCTION("""COMPUTED_VALUE"""),"CA-2014-145387")</f>
        <v>CA-2014-145387</v>
      </c>
      <c r="B754" s="29">
        <f>IFERROR(__xludf.DUMMYFUNCTION("""COMPUTED_VALUE"""),41943.0)</f>
        <v>41943</v>
      </c>
      <c r="C754" s="26" t="str">
        <f>IFERROR(__xludf.DUMMYFUNCTION("""COMPUTED_VALUE"""),"Consumer")</f>
        <v>Consumer</v>
      </c>
      <c r="D754" s="26" t="str">
        <f>IFERROR(__xludf.DUMMYFUNCTION("""COMPUTED_VALUE"""),"Rhode Island")</f>
        <v>Rhode Island</v>
      </c>
      <c r="E754" s="26" t="str">
        <f>IFERROR(__xludf.DUMMYFUNCTION("""COMPUTED_VALUE"""),"East")</f>
        <v>East</v>
      </c>
      <c r="F754" s="26">
        <f>IFERROR(__xludf.DUMMYFUNCTION("""COMPUTED_VALUE"""),49.25)</f>
        <v>49.25</v>
      </c>
      <c r="G754" s="26">
        <f>IFERROR(__xludf.DUMMYFUNCTION("""COMPUTED_VALUE"""),5.0)</f>
        <v>5</v>
      </c>
      <c r="H754" s="26">
        <f>IFERROR(__xludf.DUMMYFUNCTION("""COMPUTED_VALUE"""),18.715)</f>
        <v>18.715</v>
      </c>
    </row>
    <row r="755">
      <c r="A755" s="26" t="str">
        <f>IFERROR(__xludf.DUMMYFUNCTION("""COMPUTED_VALUE"""),"CA-2014-103590")</f>
        <v>CA-2014-103590</v>
      </c>
      <c r="B755" s="29">
        <f>IFERROR(__xludf.DUMMYFUNCTION("""COMPUTED_VALUE"""),41973.0)</f>
        <v>41973</v>
      </c>
      <c r="C755" s="26" t="str">
        <f>IFERROR(__xludf.DUMMYFUNCTION("""COMPUTED_VALUE"""),"Consumer")</f>
        <v>Consumer</v>
      </c>
      <c r="D755" s="26" t="str">
        <f>IFERROR(__xludf.DUMMYFUNCTION("""COMPUTED_VALUE"""),"New York")</f>
        <v>New York</v>
      </c>
      <c r="E755" s="26" t="str">
        <f>IFERROR(__xludf.DUMMYFUNCTION("""COMPUTED_VALUE"""),"East")</f>
        <v>East</v>
      </c>
      <c r="F755" s="26">
        <f>IFERROR(__xludf.DUMMYFUNCTION("""COMPUTED_VALUE"""),62.28)</f>
        <v>62.28</v>
      </c>
      <c r="G755" s="26">
        <f>IFERROR(__xludf.DUMMYFUNCTION("""COMPUTED_VALUE"""),4.0)</f>
        <v>4</v>
      </c>
      <c r="H755" s="26">
        <f>IFERROR(__xludf.DUMMYFUNCTION("""COMPUTED_VALUE"""),29.2716)</f>
        <v>29.2716</v>
      </c>
    </row>
    <row r="756">
      <c r="A756" s="26" t="str">
        <f>IFERROR(__xludf.DUMMYFUNCTION("""COMPUTED_VALUE"""),"CA-2014-168823")</f>
        <v>CA-2014-168823</v>
      </c>
      <c r="B756" s="27">
        <f>IFERROR(__xludf.DUMMYFUNCTION("""COMPUTED_VALUE"""),41903.0)</f>
        <v>41903</v>
      </c>
      <c r="C756" s="26" t="str">
        <f>IFERROR(__xludf.DUMMYFUNCTION("""COMPUTED_VALUE"""),"Home Office")</f>
        <v>Home Office</v>
      </c>
      <c r="D756" s="26" t="str">
        <f>IFERROR(__xludf.DUMMYFUNCTION("""COMPUTED_VALUE"""),"Pennsylvania")</f>
        <v>Pennsylvania</v>
      </c>
      <c r="E756" s="26" t="str">
        <f>IFERROR(__xludf.DUMMYFUNCTION("""COMPUTED_VALUE"""),"East")</f>
        <v>East</v>
      </c>
      <c r="F756" s="26">
        <f>IFERROR(__xludf.DUMMYFUNCTION("""COMPUTED_VALUE"""),11.352)</f>
        <v>11.352</v>
      </c>
      <c r="G756" s="26">
        <f>IFERROR(__xludf.DUMMYFUNCTION("""COMPUTED_VALUE"""),3.0)</f>
        <v>3</v>
      </c>
      <c r="H756" s="26">
        <f>IFERROR(__xludf.DUMMYFUNCTION("""COMPUTED_VALUE"""),4.1151)</f>
        <v>4.1151</v>
      </c>
    </row>
    <row r="757">
      <c r="A757" s="26" t="str">
        <f>IFERROR(__xludf.DUMMYFUNCTION("""COMPUTED_VALUE"""),"CA-2014-168130")</f>
        <v>CA-2014-168130</v>
      </c>
      <c r="B757" s="27">
        <f>IFERROR(__xludf.DUMMYFUNCTION("""COMPUTED_VALUE"""),41901.0)</f>
        <v>41901</v>
      </c>
      <c r="C757" s="26" t="str">
        <f>IFERROR(__xludf.DUMMYFUNCTION("""COMPUTED_VALUE"""),"Corporate")</f>
        <v>Corporate</v>
      </c>
      <c r="D757" s="26" t="str">
        <f>IFERROR(__xludf.DUMMYFUNCTION("""COMPUTED_VALUE"""),"New York")</f>
        <v>New York</v>
      </c>
      <c r="E757" s="26" t="str">
        <f>IFERROR(__xludf.DUMMYFUNCTION("""COMPUTED_VALUE"""),"East")</f>
        <v>East</v>
      </c>
      <c r="F757" s="26">
        <f>IFERROR(__xludf.DUMMYFUNCTION("""COMPUTED_VALUE"""),887.103)</f>
        <v>887.103</v>
      </c>
      <c r="G757" s="26">
        <f>IFERROR(__xludf.DUMMYFUNCTION("""COMPUTED_VALUE"""),7.0)</f>
        <v>7</v>
      </c>
      <c r="H757" s="26">
        <f>IFERROR(__xludf.DUMMYFUNCTION("""COMPUTED_VALUE"""),177.4206)</f>
        <v>177.4206</v>
      </c>
    </row>
    <row r="758">
      <c r="A758" s="26" t="str">
        <f>IFERROR(__xludf.DUMMYFUNCTION("""COMPUTED_VALUE"""),"CA-2014-166989")</f>
        <v>CA-2014-166989</v>
      </c>
      <c r="B758" s="29">
        <f>IFERROR(__xludf.DUMMYFUNCTION("""COMPUTED_VALUE"""),41957.0)</f>
        <v>41957</v>
      </c>
      <c r="C758" s="26" t="str">
        <f>IFERROR(__xludf.DUMMYFUNCTION("""COMPUTED_VALUE"""),"Home Office")</f>
        <v>Home Office</v>
      </c>
      <c r="D758" s="26" t="str">
        <f>IFERROR(__xludf.DUMMYFUNCTION("""COMPUTED_VALUE"""),"New York")</f>
        <v>New York</v>
      </c>
      <c r="E758" s="26" t="str">
        <f>IFERROR(__xludf.DUMMYFUNCTION("""COMPUTED_VALUE"""),"East")</f>
        <v>East</v>
      </c>
      <c r="F758" s="26">
        <f>IFERROR(__xludf.DUMMYFUNCTION("""COMPUTED_VALUE"""),11.36)</f>
        <v>11.36</v>
      </c>
      <c r="G758" s="26">
        <f>IFERROR(__xludf.DUMMYFUNCTION("""COMPUTED_VALUE"""),2.0)</f>
        <v>2</v>
      </c>
      <c r="H758" s="26">
        <f>IFERROR(__xludf.DUMMYFUNCTION("""COMPUTED_VALUE"""),5.2256)</f>
        <v>5.2256</v>
      </c>
    </row>
    <row r="759">
      <c r="A759" s="26" t="str">
        <f>IFERROR(__xludf.DUMMYFUNCTION("""COMPUTED_VALUE"""),"CA-2014-123253")</f>
        <v>CA-2014-123253</v>
      </c>
      <c r="B759" s="27">
        <f>IFERROR(__xludf.DUMMYFUNCTION("""COMPUTED_VALUE"""),41873.0)</f>
        <v>41873</v>
      </c>
      <c r="C759" s="26" t="str">
        <f>IFERROR(__xludf.DUMMYFUNCTION("""COMPUTED_VALUE"""),"Home Office")</f>
        <v>Home Office</v>
      </c>
      <c r="D759" s="26" t="str">
        <f>IFERROR(__xludf.DUMMYFUNCTION("""COMPUTED_VALUE"""),"Ohio")</f>
        <v>Ohio</v>
      </c>
      <c r="E759" s="26" t="str">
        <f>IFERROR(__xludf.DUMMYFUNCTION("""COMPUTED_VALUE"""),"East")</f>
        <v>East</v>
      </c>
      <c r="F759" s="26">
        <f>IFERROR(__xludf.DUMMYFUNCTION("""COMPUTED_VALUE"""),3.912)</f>
        <v>3.912</v>
      </c>
      <c r="G759" s="26">
        <f>IFERROR(__xludf.DUMMYFUNCTION("""COMPUTED_VALUE"""),1.0)</f>
        <v>1</v>
      </c>
      <c r="H759" s="26">
        <f>IFERROR(__xludf.DUMMYFUNCTION("""COMPUTED_VALUE"""),1.0269)</f>
        <v>1.0269</v>
      </c>
    </row>
    <row r="760">
      <c r="A760" s="26" t="str">
        <f>IFERROR(__xludf.DUMMYFUNCTION("""COMPUTED_VALUE"""),"CA-2014-123127")</f>
        <v>CA-2014-123127</v>
      </c>
      <c r="B760" s="27">
        <f>IFERROR(__xludf.DUMMYFUNCTION("""COMPUTED_VALUE"""),41890.0)</f>
        <v>41890</v>
      </c>
      <c r="C760" s="26" t="str">
        <f>IFERROR(__xludf.DUMMYFUNCTION("""COMPUTED_VALUE"""),"Corporate")</f>
        <v>Corporate</v>
      </c>
      <c r="D760" s="26" t="str">
        <f>IFERROR(__xludf.DUMMYFUNCTION("""COMPUTED_VALUE"""),"New York")</f>
        <v>New York</v>
      </c>
      <c r="E760" s="26" t="str">
        <f>IFERROR(__xludf.DUMMYFUNCTION("""COMPUTED_VALUE"""),"East")</f>
        <v>East</v>
      </c>
      <c r="F760" s="26">
        <f>IFERROR(__xludf.DUMMYFUNCTION("""COMPUTED_VALUE"""),16.78)</f>
        <v>16.78</v>
      </c>
      <c r="G760" s="26">
        <f>IFERROR(__xludf.DUMMYFUNCTION("""COMPUTED_VALUE"""),2.0)</f>
        <v>2</v>
      </c>
      <c r="H760" s="26">
        <f>IFERROR(__xludf.DUMMYFUNCTION("""COMPUTED_VALUE"""),4.195)</f>
        <v>4.195</v>
      </c>
    </row>
    <row r="761">
      <c r="A761" s="26" t="str">
        <f>IFERROR(__xludf.DUMMYFUNCTION("""COMPUTED_VALUE"""),"CA-2014-142965")</f>
        <v>CA-2014-142965</v>
      </c>
      <c r="B761" s="27">
        <f>IFERROR(__xludf.DUMMYFUNCTION("""COMPUTED_VALUE"""),41840.0)</f>
        <v>41840</v>
      </c>
      <c r="C761" s="26" t="str">
        <f>IFERROR(__xludf.DUMMYFUNCTION("""COMPUTED_VALUE"""),"Consumer")</f>
        <v>Consumer</v>
      </c>
      <c r="D761" s="26" t="str">
        <f>IFERROR(__xludf.DUMMYFUNCTION("""COMPUTED_VALUE"""),"Ohio")</f>
        <v>Ohio</v>
      </c>
      <c r="E761" s="26" t="str">
        <f>IFERROR(__xludf.DUMMYFUNCTION("""COMPUTED_VALUE"""),"East")</f>
        <v>East</v>
      </c>
      <c r="F761" s="26">
        <f>IFERROR(__xludf.DUMMYFUNCTION("""COMPUTED_VALUE"""),25.984)</f>
        <v>25.984</v>
      </c>
      <c r="G761" s="26">
        <f>IFERROR(__xludf.DUMMYFUNCTION("""COMPUTED_VALUE"""),1.0)</f>
        <v>1</v>
      </c>
      <c r="H761" s="26">
        <f>IFERROR(__xludf.DUMMYFUNCTION("""COMPUTED_VALUE"""),-5.1968)</f>
        <v>-5.1968</v>
      </c>
    </row>
    <row r="762">
      <c r="A762" s="26" t="str">
        <f>IFERROR(__xludf.DUMMYFUNCTION("""COMPUTED_VALUE"""),"US-2014-138758")</f>
        <v>US-2014-138758</v>
      </c>
      <c r="B762" s="27">
        <f>IFERROR(__xludf.DUMMYFUNCTION("""COMPUTED_VALUE"""),41827.0)</f>
        <v>41827</v>
      </c>
      <c r="C762" s="26" t="str">
        <f>IFERROR(__xludf.DUMMYFUNCTION("""COMPUTED_VALUE"""),"Consumer")</f>
        <v>Consumer</v>
      </c>
      <c r="D762" s="26" t="str">
        <f>IFERROR(__xludf.DUMMYFUNCTION("""COMPUTED_VALUE"""),"Pennsylvania")</f>
        <v>Pennsylvania</v>
      </c>
      <c r="E762" s="26" t="str">
        <f>IFERROR(__xludf.DUMMYFUNCTION("""COMPUTED_VALUE"""),"East")</f>
        <v>East</v>
      </c>
      <c r="F762" s="26">
        <f>IFERROR(__xludf.DUMMYFUNCTION("""COMPUTED_VALUE"""),172.186)</f>
        <v>172.186</v>
      </c>
      <c r="G762" s="26">
        <f>IFERROR(__xludf.DUMMYFUNCTION("""COMPUTED_VALUE"""),2.0)</f>
        <v>2</v>
      </c>
      <c r="H762" s="26">
        <f>IFERROR(__xludf.DUMMYFUNCTION("""COMPUTED_VALUE"""),-46.7362)</f>
        <v>-46.7362</v>
      </c>
    </row>
    <row r="763">
      <c r="A763" s="26" t="str">
        <f>IFERROR(__xludf.DUMMYFUNCTION("""COMPUTED_VALUE"""),"CA-2014-127936")</f>
        <v>CA-2014-127936</v>
      </c>
      <c r="B763" s="27">
        <f>IFERROR(__xludf.DUMMYFUNCTION("""COMPUTED_VALUE"""),41884.0)</f>
        <v>41884</v>
      </c>
      <c r="C763" s="26" t="str">
        <f>IFERROR(__xludf.DUMMYFUNCTION("""COMPUTED_VALUE"""),"Consumer")</f>
        <v>Consumer</v>
      </c>
      <c r="D763" s="26" t="str">
        <f>IFERROR(__xludf.DUMMYFUNCTION("""COMPUTED_VALUE"""),"New York")</f>
        <v>New York</v>
      </c>
      <c r="E763" s="26" t="str">
        <f>IFERROR(__xludf.DUMMYFUNCTION("""COMPUTED_VALUE"""),"East")</f>
        <v>East</v>
      </c>
      <c r="F763" s="26">
        <f>IFERROR(__xludf.DUMMYFUNCTION("""COMPUTED_VALUE"""),21.24)</f>
        <v>21.24</v>
      </c>
      <c r="G763" s="26">
        <f>IFERROR(__xludf.DUMMYFUNCTION("""COMPUTED_VALUE"""),3.0)</f>
        <v>3</v>
      </c>
      <c r="H763" s="26">
        <f>IFERROR(__xludf.DUMMYFUNCTION("""COMPUTED_VALUE"""),8.0712)</f>
        <v>8.0712</v>
      </c>
    </row>
    <row r="764">
      <c r="A764" s="26" t="str">
        <f>IFERROR(__xludf.DUMMYFUNCTION("""COMPUTED_VALUE"""),"CA-2014-130624")</f>
        <v>CA-2014-130624</v>
      </c>
      <c r="B764" s="27">
        <f>IFERROR(__xludf.DUMMYFUNCTION("""COMPUTED_VALUE"""),41811.0)</f>
        <v>41811</v>
      </c>
      <c r="C764" s="26" t="str">
        <f>IFERROR(__xludf.DUMMYFUNCTION("""COMPUTED_VALUE"""),"Consumer")</f>
        <v>Consumer</v>
      </c>
      <c r="D764" s="26" t="str">
        <f>IFERROR(__xludf.DUMMYFUNCTION("""COMPUTED_VALUE"""),"New York")</f>
        <v>New York</v>
      </c>
      <c r="E764" s="26" t="str">
        <f>IFERROR(__xludf.DUMMYFUNCTION("""COMPUTED_VALUE"""),"East")</f>
        <v>East</v>
      </c>
      <c r="F764" s="26">
        <f>IFERROR(__xludf.DUMMYFUNCTION("""COMPUTED_VALUE"""),19.65)</f>
        <v>19.65</v>
      </c>
      <c r="G764" s="26">
        <f>IFERROR(__xludf.DUMMYFUNCTION("""COMPUTED_VALUE"""),3.0)</f>
        <v>3</v>
      </c>
      <c r="H764" s="26">
        <f>IFERROR(__xludf.DUMMYFUNCTION("""COMPUTED_VALUE"""),9.039)</f>
        <v>9.039</v>
      </c>
    </row>
    <row r="765">
      <c r="A765" s="26" t="str">
        <f>IFERROR(__xludf.DUMMYFUNCTION("""COMPUTED_VALUE"""),"CA-2014-160157")</f>
        <v>CA-2014-160157</v>
      </c>
      <c r="B765" s="29">
        <f>IFERROR(__xludf.DUMMYFUNCTION("""COMPUTED_VALUE"""),41993.0)</f>
        <v>41993</v>
      </c>
      <c r="C765" s="26" t="str">
        <f>IFERROR(__xludf.DUMMYFUNCTION("""COMPUTED_VALUE"""),"Consumer")</f>
        <v>Consumer</v>
      </c>
      <c r="D765" s="26" t="str">
        <f>IFERROR(__xludf.DUMMYFUNCTION("""COMPUTED_VALUE"""),"Ohio")</f>
        <v>Ohio</v>
      </c>
      <c r="E765" s="26" t="str">
        <f>IFERROR(__xludf.DUMMYFUNCTION("""COMPUTED_VALUE"""),"East")</f>
        <v>East</v>
      </c>
      <c r="F765" s="26">
        <f>IFERROR(__xludf.DUMMYFUNCTION("""COMPUTED_VALUE"""),190.848)</f>
        <v>190.848</v>
      </c>
      <c r="G765" s="26">
        <f>IFERROR(__xludf.DUMMYFUNCTION("""COMPUTED_VALUE"""),3.0)</f>
        <v>3</v>
      </c>
      <c r="H765" s="26">
        <f>IFERROR(__xludf.DUMMYFUNCTION("""COMPUTED_VALUE"""),-21.4704)</f>
        <v>-21.4704</v>
      </c>
    </row>
    <row r="766">
      <c r="A766" s="26" t="str">
        <f>IFERROR(__xludf.DUMMYFUNCTION("""COMPUTED_VALUE"""),"CA-2014-139633")</f>
        <v>CA-2014-139633</v>
      </c>
      <c r="B766" s="29">
        <f>IFERROR(__xludf.DUMMYFUNCTION("""COMPUTED_VALUE"""),41990.0)</f>
        <v>41990</v>
      </c>
      <c r="C766" s="26" t="str">
        <f>IFERROR(__xludf.DUMMYFUNCTION("""COMPUTED_VALUE"""),"Consumer")</f>
        <v>Consumer</v>
      </c>
      <c r="D766" s="26" t="str">
        <f>IFERROR(__xludf.DUMMYFUNCTION("""COMPUTED_VALUE"""),"Ohio")</f>
        <v>Ohio</v>
      </c>
      <c r="E766" s="26" t="str">
        <f>IFERROR(__xludf.DUMMYFUNCTION("""COMPUTED_VALUE"""),"East")</f>
        <v>East</v>
      </c>
      <c r="F766" s="26">
        <f>IFERROR(__xludf.DUMMYFUNCTION("""COMPUTED_VALUE"""),5.484)</f>
        <v>5.484</v>
      </c>
      <c r="G766" s="26">
        <f>IFERROR(__xludf.DUMMYFUNCTION("""COMPUTED_VALUE"""),4.0)</f>
        <v>4</v>
      </c>
      <c r="H766" s="26">
        <f>IFERROR(__xludf.DUMMYFUNCTION("""COMPUTED_VALUE"""),-4.0216)</f>
        <v>-4.0216</v>
      </c>
    </row>
    <row r="767">
      <c r="A767" s="26" t="str">
        <f>IFERROR(__xludf.DUMMYFUNCTION("""COMPUTED_VALUE"""),"CA-2014-147235")</f>
        <v>CA-2014-147235</v>
      </c>
      <c r="B767" s="27">
        <f>IFERROR(__xludf.DUMMYFUNCTION("""COMPUTED_VALUE"""),41722.0)</f>
        <v>41722</v>
      </c>
      <c r="C767" s="26" t="str">
        <f>IFERROR(__xludf.DUMMYFUNCTION("""COMPUTED_VALUE"""),"Consumer")</f>
        <v>Consumer</v>
      </c>
      <c r="D767" s="26" t="str">
        <f>IFERROR(__xludf.DUMMYFUNCTION("""COMPUTED_VALUE"""),"New York")</f>
        <v>New York</v>
      </c>
      <c r="E767" s="26" t="str">
        <f>IFERROR(__xludf.DUMMYFUNCTION("""COMPUTED_VALUE"""),"East")</f>
        <v>East</v>
      </c>
      <c r="F767" s="26">
        <f>IFERROR(__xludf.DUMMYFUNCTION("""COMPUTED_VALUE"""),24.9)</f>
        <v>24.9</v>
      </c>
      <c r="G767" s="26">
        <f>IFERROR(__xludf.DUMMYFUNCTION("""COMPUTED_VALUE"""),5.0)</f>
        <v>5</v>
      </c>
      <c r="H767" s="26">
        <f>IFERROR(__xludf.DUMMYFUNCTION("""COMPUTED_VALUE"""),11.703)</f>
        <v>11.703</v>
      </c>
    </row>
    <row r="768">
      <c r="A768" s="26" t="str">
        <f>IFERROR(__xludf.DUMMYFUNCTION("""COMPUTED_VALUE"""),"CA-2014-150798")</f>
        <v>CA-2014-150798</v>
      </c>
      <c r="B768" s="27">
        <f>IFERROR(__xludf.DUMMYFUNCTION("""COMPUTED_VALUE"""),41974.0)</f>
        <v>41974</v>
      </c>
      <c r="C768" s="26" t="str">
        <f>IFERROR(__xludf.DUMMYFUNCTION("""COMPUTED_VALUE"""),"Consumer")</f>
        <v>Consumer</v>
      </c>
      <c r="D768" s="26" t="str">
        <f>IFERROR(__xludf.DUMMYFUNCTION("""COMPUTED_VALUE"""),"Ohio")</f>
        <v>Ohio</v>
      </c>
      <c r="E768" s="26" t="str">
        <f>IFERROR(__xludf.DUMMYFUNCTION("""COMPUTED_VALUE"""),"East")</f>
        <v>East</v>
      </c>
      <c r="F768" s="26">
        <f>IFERROR(__xludf.DUMMYFUNCTION("""COMPUTED_VALUE"""),659.988)</f>
        <v>659.988</v>
      </c>
      <c r="G768" s="26">
        <f>IFERROR(__xludf.DUMMYFUNCTION("""COMPUTED_VALUE"""),2.0)</f>
        <v>2</v>
      </c>
      <c r="H768" s="26">
        <f>IFERROR(__xludf.DUMMYFUNCTION("""COMPUTED_VALUE"""),109.998)</f>
        <v>109.998</v>
      </c>
    </row>
    <row r="769">
      <c r="A769" s="26" t="str">
        <f>IFERROR(__xludf.DUMMYFUNCTION("""COMPUTED_VALUE"""),"CA-2014-107454")</f>
        <v>CA-2014-107454</v>
      </c>
      <c r="B769" s="27">
        <f>IFERROR(__xludf.DUMMYFUNCTION("""COMPUTED_VALUE"""),41945.0)</f>
        <v>41945</v>
      </c>
      <c r="C769" s="26" t="str">
        <f>IFERROR(__xludf.DUMMYFUNCTION("""COMPUTED_VALUE"""),"Consumer")</f>
        <v>Consumer</v>
      </c>
      <c r="D769" s="26" t="str">
        <f>IFERROR(__xludf.DUMMYFUNCTION("""COMPUTED_VALUE"""),"New York")</f>
        <v>New York</v>
      </c>
      <c r="E769" s="26" t="str">
        <f>IFERROR(__xludf.DUMMYFUNCTION("""COMPUTED_VALUE"""),"East")</f>
        <v>East</v>
      </c>
      <c r="F769" s="26">
        <f>IFERROR(__xludf.DUMMYFUNCTION("""COMPUTED_VALUE"""),34.86)</f>
        <v>34.86</v>
      </c>
      <c r="G769" s="26">
        <f>IFERROR(__xludf.DUMMYFUNCTION("""COMPUTED_VALUE"""),7.0)</f>
        <v>7</v>
      </c>
      <c r="H769" s="26">
        <f>IFERROR(__xludf.DUMMYFUNCTION("""COMPUTED_VALUE"""),16.0356)</f>
        <v>16.0356</v>
      </c>
    </row>
    <row r="770">
      <c r="A770" s="26" t="str">
        <f>IFERROR(__xludf.DUMMYFUNCTION("""COMPUTED_VALUE"""),"US-2014-150126")</f>
        <v>US-2014-150126</v>
      </c>
      <c r="B770" s="27">
        <f>IFERROR(__xludf.DUMMYFUNCTION("""COMPUTED_VALUE"""),41847.0)</f>
        <v>41847</v>
      </c>
      <c r="C770" s="26" t="str">
        <f>IFERROR(__xludf.DUMMYFUNCTION("""COMPUTED_VALUE"""),"Corporate")</f>
        <v>Corporate</v>
      </c>
      <c r="D770" s="26" t="str">
        <f>IFERROR(__xludf.DUMMYFUNCTION("""COMPUTED_VALUE"""),"New York")</f>
        <v>New York</v>
      </c>
      <c r="E770" s="26" t="str">
        <f>IFERROR(__xludf.DUMMYFUNCTION("""COMPUTED_VALUE"""),"East")</f>
        <v>East</v>
      </c>
      <c r="F770" s="26">
        <f>IFERROR(__xludf.DUMMYFUNCTION("""COMPUTED_VALUE"""),65.78)</f>
        <v>65.78</v>
      </c>
      <c r="G770" s="26">
        <f>IFERROR(__xludf.DUMMYFUNCTION("""COMPUTED_VALUE"""),11.0)</f>
        <v>11</v>
      </c>
      <c r="H770" s="26">
        <f>IFERROR(__xludf.DUMMYFUNCTION("""COMPUTED_VALUE"""),32.2322)</f>
        <v>32.2322</v>
      </c>
    </row>
    <row r="771">
      <c r="A771" s="26" t="str">
        <f>IFERROR(__xludf.DUMMYFUNCTION("""COMPUTED_VALUE"""),"CA-2014-112403")</f>
        <v>CA-2014-112403</v>
      </c>
      <c r="B771" s="27">
        <f>IFERROR(__xludf.DUMMYFUNCTION("""COMPUTED_VALUE"""),41729.0)</f>
        <v>41729</v>
      </c>
      <c r="C771" s="26" t="str">
        <f>IFERROR(__xludf.DUMMYFUNCTION("""COMPUTED_VALUE"""),"Consumer")</f>
        <v>Consumer</v>
      </c>
      <c r="D771" s="26" t="str">
        <f>IFERROR(__xludf.DUMMYFUNCTION("""COMPUTED_VALUE"""),"Pennsylvania")</f>
        <v>Pennsylvania</v>
      </c>
      <c r="E771" s="26" t="str">
        <f>IFERROR(__xludf.DUMMYFUNCTION("""COMPUTED_VALUE"""),"East")</f>
        <v>East</v>
      </c>
      <c r="F771" s="26">
        <f>IFERROR(__xludf.DUMMYFUNCTION("""COMPUTED_VALUE"""),0.852)</f>
        <v>0.852</v>
      </c>
      <c r="G771" s="26">
        <f>IFERROR(__xludf.DUMMYFUNCTION("""COMPUTED_VALUE"""),1.0)</f>
        <v>1</v>
      </c>
      <c r="H771" s="26">
        <f>IFERROR(__xludf.DUMMYFUNCTION("""COMPUTED_VALUE"""),-0.5964)</f>
        <v>-0.5964</v>
      </c>
    </row>
    <row r="772">
      <c r="A772" s="26" t="str">
        <f>IFERROR(__xludf.DUMMYFUNCTION("""COMPUTED_VALUE"""),"CA-2014-119151")</f>
        <v>CA-2014-119151</v>
      </c>
      <c r="B772" s="29">
        <f>IFERROR(__xludf.DUMMYFUNCTION("""COMPUTED_VALUE"""),41968.0)</f>
        <v>41968</v>
      </c>
      <c r="C772" s="26" t="str">
        <f>IFERROR(__xludf.DUMMYFUNCTION("""COMPUTED_VALUE"""),"Home Office")</f>
        <v>Home Office</v>
      </c>
      <c r="D772" s="26" t="str">
        <f>IFERROR(__xludf.DUMMYFUNCTION("""COMPUTED_VALUE"""),"New York")</f>
        <v>New York</v>
      </c>
      <c r="E772" s="26" t="str">
        <f>IFERROR(__xludf.DUMMYFUNCTION("""COMPUTED_VALUE"""),"East")</f>
        <v>East</v>
      </c>
      <c r="F772" s="26">
        <f>IFERROR(__xludf.DUMMYFUNCTION("""COMPUTED_VALUE"""),1117.92)</f>
        <v>1117.92</v>
      </c>
      <c r="G772" s="26">
        <f>IFERROR(__xludf.DUMMYFUNCTION("""COMPUTED_VALUE"""),4.0)</f>
        <v>4</v>
      </c>
      <c r="H772" s="26">
        <f>IFERROR(__xludf.DUMMYFUNCTION("""COMPUTED_VALUE"""),55.896)</f>
        <v>55.896</v>
      </c>
    </row>
    <row r="773">
      <c r="A773" s="26" t="str">
        <f>IFERROR(__xludf.DUMMYFUNCTION("""COMPUTED_VALUE"""),"CA-2014-121573")</f>
        <v>CA-2014-121573</v>
      </c>
      <c r="B773" s="27">
        <f>IFERROR(__xludf.DUMMYFUNCTION("""COMPUTED_VALUE"""),41946.0)</f>
        <v>41946</v>
      </c>
      <c r="C773" s="26" t="str">
        <f>IFERROR(__xludf.DUMMYFUNCTION("""COMPUTED_VALUE"""),"Consumer")</f>
        <v>Consumer</v>
      </c>
      <c r="D773" s="26" t="str">
        <f>IFERROR(__xludf.DUMMYFUNCTION("""COMPUTED_VALUE"""),"New York")</f>
        <v>New York</v>
      </c>
      <c r="E773" s="26" t="str">
        <f>IFERROR(__xludf.DUMMYFUNCTION("""COMPUTED_VALUE"""),"East")</f>
        <v>East</v>
      </c>
      <c r="F773" s="26">
        <f>IFERROR(__xludf.DUMMYFUNCTION("""COMPUTED_VALUE"""),783.96)</f>
        <v>783.96</v>
      </c>
      <c r="G773" s="26">
        <f>IFERROR(__xludf.DUMMYFUNCTION("""COMPUTED_VALUE"""),4.0)</f>
        <v>4</v>
      </c>
      <c r="H773" s="26">
        <f>IFERROR(__xludf.DUMMYFUNCTION("""COMPUTED_VALUE"""),219.5088)</f>
        <v>219.5088</v>
      </c>
    </row>
    <row r="774">
      <c r="A774" s="26" t="str">
        <f>IFERROR(__xludf.DUMMYFUNCTION("""COMPUTED_VALUE"""),"CA-2014-150301")</f>
        <v>CA-2014-150301</v>
      </c>
      <c r="B774" s="27">
        <f>IFERROR(__xludf.DUMMYFUNCTION("""COMPUTED_VALUE"""),41828.0)</f>
        <v>41828</v>
      </c>
      <c r="C774" s="26" t="str">
        <f>IFERROR(__xludf.DUMMYFUNCTION("""COMPUTED_VALUE"""),"Consumer")</f>
        <v>Consumer</v>
      </c>
      <c r="D774" s="26" t="str">
        <f>IFERROR(__xludf.DUMMYFUNCTION("""COMPUTED_VALUE"""),"New York")</f>
        <v>New York</v>
      </c>
      <c r="E774" s="26" t="str">
        <f>IFERROR(__xludf.DUMMYFUNCTION("""COMPUTED_VALUE"""),"East")</f>
        <v>East</v>
      </c>
      <c r="F774" s="26">
        <f>IFERROR(__xludf.DUMMYFUNCTION("""COMPUTED_VALUE"""),63.882)</f>
        <v>63.882</v>
      </c>
      <c r="G774" s="26">
        <f>IFERROR(__xludf.DUMMYFUNCTION("""COMPUTED_VALUE"""),1.0)</f>
        <v>1</v>
      </c>
      <c r="H774" s="26">
        <f>IFERROR(__xludf.DUMMYFUNCTION("""COMPUTED_VALUE"""),10.647)</f>
        <v>10.647</v>
      </c>
    </row>
    <row r="775">
      <c r="A775" s="26" t="str">
        <f>IFERROR(__xludf.DUMMYFUNCTION("""COMPUTED_VALUE"""),"CA-2014-149055")</f>
        <v>CA-2014-149055</v>
      </c>
      <c r="B775" s="29">
        <f>IFERROR(__xludf.DUMMYFUNCTION("""COMPUTED_VALUE"""),41966.0)</f>
        <v>41966</v>
      </c>
      <c r="C775" s="26" t="str">
        <f>IFERROR(__xludf.DUMMYFUNCTION("""COMPUTED_VALUE"""),"Corporate")</f>
        <v>Corporate</v>
      </c>
      <c r="D775" s="26" t="str">
        <f>IFERROR(__xludf.DUMMYFUNCTION("""COMPUTED_VALUE"""),"Pennsylvania")</f>
        <v>Pennsylvania</v>
      </c>
      <c r="E775" s="26" t="str">
        <f>IFERROR(__xludf.DUMMYFUNCTION("""COMPUTED_VALUE"""),"East")</f>
        <v>East</v>
      </c>
      <c r="F775" s="26">
        <f>IFERROR(__xludf.DUMMYFUNCTION("""COMPUTED_VALUE"""),62.808)</f>
        <v>62.808</v>
      </c>
      <c r="G775" s="26">
        <f>IFERROR(__xludf.DUMMYFUNCTION("""COMPUTED_VALUE"""),3.0)</f>
        <v>3</v>
      </c>
      <c r="H775" s="26">
        <f>IFERROR(__xludf.DUMMYFUNCTION("""COMPUTED_VALUE"""),21.1977)</f>
        <v>21.1977</v>
      </c>
    </row>
    <row r="776">
      <c r="A776" s="26" t="str">
        <f>IFERROR(__xludf.DUMMYFUNCTION("""COMPUTED_VALUE"""),"CA-2014-139598")</f>
        <v>CA-2014-139598</v>
      </c>
      <c r="B776" s="29">
        <f>IFERROR(__xludf.DUMMYFUNCTION("""COMPUTED_VALUE"""),41999.0)</f>
        <v>41999</v>
      </c>
      <c r="C776" s="26" t="str">
        <f>IFERROR(__xludf.DUMMYFUNCTION("""COMPUTED_VALUE"""),"Consumer")</f>
        <v>Consumer</v>
      </c>
      <c r="D776" s="26" t="str">
        <f>IFERROR(__xludf.DUMMYFUNCTION("""COMPUTED_VALUE"""),"Pennsylvania")</f>
        <v>Pennsylvania</v>
      </c>
      <c r="E776" s="26" t="str">
        <f>IFERROR(__xludf.DUMMYFUNCTION("""COMPUTED_VALUE"""),"East")</f>
        <v>East</v>
      </c>
      <c r="F776" s="26">
        <f>IFERROR(__xludf.DUMMYFUNCTION("""COMPUTED_VALUE"""),18.264)</f>
        <v>18.264</v>
      </c>
      <c r="G776" s="26">
        <f>IFERROR(__xludf.DUMMYFUNCTION("""COMPUTED_VALUE"""),3.0)</f>
        <v>3</v>
      </c>
      <c r="H776" s="26">
        <f>IFERROR(__xludf.DUMMYFUNCTION("""COMPUTED_VALUE"""),6.1641)</f>
        <v>6.1641</v>
      </c>
    </row>
    <row r="777">
      <c r="A777" s="26" t="str">
        <f>IFERROR(__xludf.DUMMYFUNCTION("""COMPUTED_VALUE"""),"CA-2014-132864")</f>
        <v>CA-2014-132864</v>
      </c>
      <c r="B777" s="27">
        <f>IFERROR(__xludf.DUMMYFUNCTION("""COMPUTED_VALUE"""),41975.0)</f>
        <v>41975</v>
      </c>
      <c r="C777" s="26" t="str">
        <f>IFERROR(__xludf.DUMMYFUNCTION("""COMPUTED_VALUE"""),"Corporate")</f>
        <v>Corporate</v>
      </c>
      <c r="D777" s="26" t="str">
        <f>IFERROR(__xludf.DUMMYFUNCTION("""COMPUTED_VALUE"""),"Ohio")</f>
        <v>Ohio</v>
      </c>
      <c r="E777" s="26" t="str">
        <f>IFERROR(__xludf.DUMMYFUNCTION("""COMPUTED_VALUE"""),"East")</f>
        <v>East</v>
      </c>
      <c r="F777" s="26">
        <f>IFERROR(__xludf.DUMMYFUNCTION("""COMPUTED_VALUE"""),119.8)</f>
        <v>119.8</v>
      </c>
      <c r="G777" s="26">
        <f>IFERROR(__xludf.DUMMYFUNCTION("""COMPUTED_VALUE"""),5.0)</f>
        <v>5</v>
      </c>
      <c r="H777" s="26">
        <f>IFERROR(__xludf.DUMMYFUNCTION("""COMPUTED_VALUE"""),29.95)</f>
        <v>29.95</v>
      </c>
    </row>
    <row r="778">
      <c r="A778" s="26" t="str">
        <f>IFERROR(__xludf.DUMMYFUNCTION("""COMPUTED_VALUE"""),"US-2014-122021")</f>
        <v>US-2014-122021</v>
      </c>
      <c r="B778" s="29">
        <f>IFERROR(__xludf.DUMMYFUNCTION("""COMPUTED_VALUE"""),41927.0)</f>
        <v>41927</v>
      </c>
      <c r="C778" s="26" t="str">
        <f>IFERROR(__xludf.DUMMYFUNCTION("""COMPUTED_VALUE"""),"Consumer")</f>
        <v>Consumer</v>
      </c>
      <c r="D778" s="26" t="str">
        <f>IFERROR(__xludf.DUMMYFUNCTION("""COMPUTED_VALUE"""),"Ohio")</f>
        <v>Ohio</v>
      </c>
      <c r="E778" s="26" t="str">
        <f>IFERROR(__xludf.DUMMYFUNCTION("""COMPUTED_VALUE"""),"East")</f>
        <v>East</v>
      </c>
      <c r="F778" s="26">
        <f>IFERROR(__xludf.DUMMYFUNCTION("""COMPUTED_VALUE"""),183.372)</f>
        <v>183.372</v>
      </c>
      <c r="G778" s="26">
        <f>IFERROR(__xludf.DUMMYFUNCTION("""COMPUTED_VALUE"""),2.0)</f>
        <v>2</v>
      </c>
      <c r="H778" s="26">
        <f>IFERROR(__xludf.DUMMYFUNCTION("""COMPUTED_VALUE"""),-7.8588)</f>
        <v>-7.8588</v>
      </c>
    </row>
    <row r="779">
      <c r="A779" s="26" t="str">
        <f>IFERROR(__xludf.DUMMYFUNCTION("""COMPUTED_VALUE"""),"US-2014-146353")</f>
        <v>US-2014-146353</v>
      </c>
      <c r="B779" s="29">
        <f>IFERROR(__xludf.DUMMYFUNCTION("""COMPUTED_VALUE"""),41926.0)</f>
        <v>41926</v>
      </c>
      <c r="C779" s="26" t="str">
        <f>IFERROR(__xludf.DUMMYFUNCTION("""COMPUTED_VALUE"""),"Corporate")</f>
        <v>Corporate</v>
      </c>
      <c r="D779" s="26" t="str">
        <f>IFERROR(__xludf.DUMMYFUNCTION("""COMPUTED_VALUE"""),"New Hampshire")</f>
        <v>New Hampshire</v>
      </c>
      <c r="E779" s="26" t="str">
        <f>IFERROR(__xludf.DUMMYFUNCTION("""COMPUTED_VALUE"""),"East")</f>
        <v>East</v>
      </c>
      <c r="F779" s="26">
        <f>IFERROR(__xludf.DUMMYFUNCTION("""COMPUTED_VALUE"""),22.92)</f>
        <v>22.92</v>
      </c>
      <c r="G779" s="26">
        <f>IFERROR(__xludf.DUMMYFUNCTION("""COMPUTED_VALUE"""),4.0)</f>
        <v>4</v>
      </c>
      <c r="H779" s="26">
        <f>IFERROR(__xludf.DUMMYFUNCTION("""COMPUTED_VALUE"""),11.0016)</f>
        <v>11.0016</v>
      </c>
    </row>
    <row r="780">
      <c r="A780" s="26" t="str">
        <f>IFERROR(__xludf.DUMMYFUNCTION("""COMPUTED_VALUE"""),"CA-2014-133809")</f>
        <v>CA-2014-133809</v>
      </c>
      <c r="B780" s="29">
        <f>IFERROR(__xludf.DUMMYFUNCTION("""COMPUTED_VALUE"""),41961.0)</f>
        <v>41961</v>
      </c>
      <c r="C780" s="26" t="str">
        <f>IFERROR(__xludf.DUMMYFUNCTION("""COMPUTED_VALUE"""),"Consumer")</f>
        <v>Consumer</v>
      </c>
      <c r="D780" s="26" t="str">
        <f>IFERROR(__xludf.DUMMYFUNCTION("""COMPUTED_VALUE"""),"Ohio")</f>
        <v>Ohio</v>
      </c>
      <c r="E780" s="26" t="str">
        <f>IFERROR(__xludf.DUMMYFUNCTION("""COMPUTED_VALUE"""),"East")</f>
        <v>East</v>
      </c>
      <c r="F780" s="26">
        <f>IFERROR(__xludf.DUMMYFUNCTION("""COMPUTED_VALUE"""),11.808)</f>
        <v>11.808</v>
      </c>
      <c r="G780" s="26">
        <f>IFERROR(__xludf.DUMMYFUNCTION("""COMPUTED_VALUE"""),8.0)</f>
        <v>8</v>
      </c>
      <c r="H780" s="26">
        <f>IFERROR(__xludf.DUMMYFUNCTION("""COMPUTED_VALUE"""),-8.6592)</f>
        <v>-8.6592</v>
      </c>
    </row>
    <row r="781">
      <c r="A781" s="26" t="str">
        <f>IFERROR(__xludf.DUMMYFUNCTION("""COMPUTED_VALUE"""),"US-2014-138828")</f>
        <v>US-2014-138828</v>
      </c>
      <c r="B781" s="27">
        <f>IFERROR(__xludf.DUMMYFUNCTION("""COMPUTED_VALUE"""),41884.0)</f>
        <v>41884</v>
      </c>
      <c r="C781" s="26" t="str">
        <f>IFERROR(__xludf.DUMMYFUNCTION("""COMPUTED_VALUE"""),"Consumer")</f>
        <v>Consumer</v>
      </c>
      <c r="D781" s="26" t="str">
        <f>IFERROR(__xludf.DUMMYFUNCTION("""COMPUTED_VALUE"""),"New York")</f>
        <v>New York</v>
      </c>
      <c r="E781" s="26" t="str">
        <f>IFERROR(__xludf.DUMMYFUNCTION("""COMPUTED_VALUE"""),"East")</f>
        <v>East</v>
      </c>
      <c r="F781" s="26">
        <f>IFERROR(__xludf.DUMMYFUNCTION("""COMPUTED_VALUE"""),57.75)</f>
        <v>57.75</v>
      </c>
      <c r="G781" s="26">
        <f>IFERROR(__xludf.DUMMYFUNCTION("""COMPUTED_VALUE"""),5.0)</f>
        <v>5</v>
      </c>
      <c r="H781" s="26">
        <f>IFERROR(__xludf.DUMMYFUNCTION("""COMPUTED_VALUE"""),16.17)</f>
        <v>16.17</v>
      </c>
    </row>
    <row r="782">
      <c r="A782" s="26" t="str">
        <f>IFERROR(__xludf.DUMMYFUNCTION("""COMPUTED_VALUE"""),"CA-2014-125171")</f>
        <v>CA-2014-125171</v>
      </c>
      <c r="B782" s="27">
        <f>IFERROR(__xludf.DUMMYFUNCTION("""COMPUTED_VALUE"""),41885.0)</f>
        <v>41885</v>
      </c>
      <c r="C782" s="26" t="str">
        <f>IFERROR(__xludf.DUMMYFUNCTION("""COMPUTED_VALUE"""),"Consumer")</f>
        <v>Consumer</v>
      </c>
      <c r="D782" s="26" t="str">
        <f>IFERROR(__xludf.DUMMYFUNCTION("""COMPUTED_VALUE"""),"New York")</f>
        <v>New York</v>
      </c>
      <c r="E782" s="26" t="str">
        <f>IFERROR(__xludf.DUMMYFUNCTION("""COMPUTED_VALUE"""),"East")</f>
        <v>East</v>
      </c>
      <c r="F782" s="26">
        <f>IFERROR(__xludf.DUMMYFUNCTION("""COMPUTED_VALUE"""),14.4)</f>
        <v>14.4</v>
      </c>
      <c r="G782" s="26">
        <f>IFERROR(__xludf.DUMMYFUNCTION("""COMPUTED_VALUE"""),5.0)</f>
        <v>5</v>
      </c>
      <c r="H782" s="26">
        <f>IFERROR(__xludf.DUMMYFUNCTION("""COMPUTED_VALUE"""),7.056)</f>
        <v>7.056</v>
      </c>
    </row>
    <row r="783">
      <c r="A783" s="26" t="str">
        <f>IFERROR(__xludf.DUMMYFUNCTION("""COMPUTED_VALUE"""),"CA-2014-132227")</f>
        <v>CA-2014-132227</v>
      </c>
      <c r="B783" s="27">
        <f>IFERROR(__xludf.DUMMYFUNCTION("""COMPUTED_VALUE"""),41947.0)</f>
        <v>41947</v>
      </c>
      <c r="C783" s="26" t="str">
        <f>IFERROR(__xludf.DUMMYFUNCTION("""COMPUTED_VALUE"""),"Home Office")</f>
        <v>Home Office</v>
      </c>
      <c r="D783" s="26" t="str">
        <f>IFERROR(__xludf.DUMMYFUNCTION("""COMPUTED_VALUE"""),"New York")</f>
        <v>New York</v>
      </c>
      <c r="E783" s="26" t="str">
        <f>IFERROR(__xludf.DUMMYFUNCTION("""COMPUTED_VALUE"""),"East")</f>
        <v>East</v>
      </c>
      <c r="F783" s="26">
        <f>IFERROR(__xludf.DUMMYFUNCTION("""COMPUTED_VALUE"""),52.064)</f>
        <v>52.064</v>
      </c>
      <c r="G783" s="26">
        <f>IFERROR(__xludf.DUMMYFUNCTION("""COMPUTED_VALUE"""),4.0)</f>
        <v>4</v>
      </c>
      <c r="H783" s="26">
        <f>IFERROR(__xludf.DUMMYFUNCTION("""COMPUTED_VALUE"""),18.8732)</f>
        <v>18.8732</v>
      </c>
    </row>
    <row r="784">
      <c r="A784" s="26" t="str">
        <f>IFERROR(__xludf.DUMMYFUNCTION("""COMPUTED_VALUE"""),"CA-2014-153850")</f>
        <v>CA-2014-153850</v>
      </c>
      <c r="B784" s="29">
        <f>IFERROR(__xludf.DUMMYFUNCTION("""COMPUTED_VALUE"""),41967.0)</f>
        <v>41967</v>
      </c>
      <c r="C784" s="26" t="str">
        <f>IFERROR(__xludf.DUMMYFUNCTION("""COMPUTED_VALUE"""),"Consumer")</f>
        <v>Consumer</v>
      </c>
      <c r="D784" s="26" t="str">
        <f>IFERROR(__xludf.DUMMYFUNCTION("""COMPUTED_VALUE"""),"Ohio")</f>
        <v>Ohio</v>
      </c>
      <c r="E784" s="26" t="str">
        <f>IFERROR(__xludf.DUMMYFUNCTION("""COMPUTED_VALUE"""),"East")</f>
        <v>East</v>
      </c>
      <c r="F784" s="26">
        <f>IFERROR(__xludf.DUMMYFUNCTION("""COMPUTED_VALUE"""),35.168)</f>
        <v>35.168</v>
      </c>
      <c r="G784" s="26">
        <f>IFERROR(__xludf.DUMMYFUNCTION("""COMPUTED_VALUE"""),7.0)</f>
        <v>7</v>
      </c>
      <c r="H784" s="26">
        <f>IFERROR(__xludf.DUMMYFUNCTION("""COMPUTED_VALUE"""),9.6712)</f>
        <v>9.6712</v>
      </c>
    </row>
    <row r="785">
      <c r="A785" s="26" t="str">
        <f>IFERROR(__xludf.DUMMYFUNCTION("""COMPUTED_VALUE"""),"CA-2014-138450")</f>
        <v>CA-2014-138450</v>
      </c>
      <c r="B785" s="29">
        <f>IFERROR(__xludf.DUMMYFUNCTION("""COMPUTED_VALUE"""),41930.0)</f>
        <v>41930</v>
      </c>
      <c r="C785" s="26" t="str">
        <f>IFERROR(__xludf.DUMMYFUNCTION("""COMPUTED_VALUE"""),"Corporate")</f>
        <v>Corporate</v>
      </c>
      <c r="D785" s="26" t="str">
        <f>IFERROR(__xludf.DUMMYFUNCTION("""COMPUTED_VALUE"""),"Pennsylvania")</f>
        <v>Pennsylvania</v>
      </c>
      <c r="E785" s="26" t="str">
        <f>IFERROR(__xludf.DUMMYFUNCTION("""COMPUTED_VALUE"""),"East")</f>
        <v>East</v>
      </c>
      <c r="F785" s="26">
        <f>IFERROR(__xludf.DUMMYFUNCTION("""COMPUTED_VALUE"""),52.512)</f>
        <v>52.512</v>
      </c>
      <c r="G785" s="26">
        <f>IFERROR(__xludf.DUMMYFUNCTION("""COMPUTED_VALUE"""),6.0)</f>
        <v>6</v>
      </c>
      <c r="H785" s="26">
        <f>IFERROR(__xludf.DUMMYFUNCTION("""COMPUTED_VALUE"""),19.692)</f>
        <v>19.692</v>
      </c>
    </row>
    <row r="786">
      <c r="A786" s="26" t="str">
        <f>IFERROR(__xludf.DUMMYFUNCTION("""COMPUTED_VALUE"""),"CA-2014-160766")</f>
        <v>CA-2014-160766</v>
      </c>
      <c r="B786" s="27">
        <f>IFERROR(__xludf.DUMMYFUNCTION("""COMPUTED_VALUE"""),41896.0)</f>
        <v>41896</v>
      </c>
      <c r="C786" s="26" t="str">
        <f>IFERROR(__xludf.DUMMYFUNCTION("""COMPUTED_VALUE"""),"Consumer")</f>
        <v>Consumer</v>
      </c>
      <c r="D786" s="26" t="str">
        <f>IFERROR(__xludf.DUMMYFUNCTION("""COMPUTED_VALUE"""),"New York")</f>
        <v>New York</v>
      </c>
      <c r="E786" s="26" t="str">
        <f>IFERROR(__xludf.DUMMYFUNCTION("""COMPUTED_VALUE"""),"East")</f>
        <v>East</v>
      </c>
      <c r="F786" s="26">
        <f>IFERROR(__xludf.DUMMYFUNCTION("""COMPUTED_VALUE"""),464.292)</f>
        <v>464.292</v>
      </c>
      <c r="G786" s="26">
        <f>IFERROR(__xludf.DUMMYFUNCTION("""COMPUTED_VALUE"""),9.0)</f>
        <v>9</v>
      </c>
      <c r="H786" s="26">
        <f>IFERROR(__xludf.DUMMYFUNCTION("""COMPUTED_VALUE"""),-108.3348)</f>
        <v>-108.3348</v>
      </c>
    </row>
    <row r="787">
      <c r="A787" s="26" t="str">
        <f>IFERROR(__xludf.DUMMYFUNCTION("""COMPUTED_VALUE"""),"CA-2014-141796")</f>
        <v>CA-2014-141796</v>
      </c>
      <c r="B787" s="27">
        <f>IFERROR(__xludf.DUMMYFUNCTION("""COMPUTED_VALUE"""),41811.0)</f>
        <v>41811</v>
      </c>
      <c r="C787" s="26" t="str">
        <f>IFERROR(__xludf.DUMMYFUNCTION("""COMPUTED_VALUE"""),"Consumer")</f>
        <v>Consumer</v>
      </c>
      <c r="D787" s="26" t="str">
        <f>IFERROR(__xludf.DUMMYFUNCTION("""COMPUTED_VALUE"""),"New York")</f>
        <v>New York</v>
      </c>
      <c r="E787" s="26" t="str">
        <f>IFERROR(__xludf.DUMMYFUNCTION("""COMPUTED_VALUE"""),"East")</f>
        <v>East</v>
      </c>
      <c r="F787" s="26">
        <f>IFERROR(__xludf.DUMMYFUNCTION("""COMPUTED_VALUE"""),1214.85)</f>
        <v>1214.85</v>
      </c>
      <c r="G787" s="26">
        <f>IFERROR(__xludf.DUMMYFUNCTION("""COMPUTED_VALUE"""),3.0)</f>
        <v>3</v>
      </c>
      <c r="H787" s="26">
        <f>IFERROR(__xludf.DUMMYFUNCTION("""COMPUTED_VALUE"""),352.3065)</f>
        <v>352.3065</v>
      </c>
    </row>
    <row r="788">
      <c r="A788" s="26" t="str">
        <f>IFERROR(__xludf.DUMMYFUNCTION("""COMPUTED_VALUE"""),"US-2014-121566")</f>
        <v>US-2014-121566</v>
      </c>
      <c r="B788" s="27">
        <f>IFERROR(__xludf.DUMMYFUNCTION("""COMPUTED_VALUE"""),41820.0)</f>
        <v>41820</v>
      </c>
      <c r="C788" s="26" t="str">
        <f>IFERROR(__xludf.DUMMYFUNCTION("""COMPUTED_VALUE"""),"Consumer")</f>
        <v>Consumer</v>
      </c>
      <c r="D788" s="26" t="str">
        <f>IFERROR(__xludf.DUMMYFUNCTION("""COMPUTED_VALUE"""),"New York")</f>
        <v>New York</v>
      </c>
      <c r="E788" s="26" t="str">
        <f>IFERROR(__xludf.DUMMYFUNCTION("""COMPUTED_VALUE"""),"East")</f>
        <v>East</v>
      </c>
      <c r="F788" s="26">
        <f>IFERROR(__xludf.DUMMYFUNCTION("""COMPUTED_VALUE"""),2.688)</f>
        <v>2.688</v>
      </c>
      <c r="G788" s="26">
        <f>IFERROR(__xludf.DUMMYFUNCTION("""COMPUTED_VALUE"""),1.0)</f>
        <v>1</v>
      </c>
      <c r="H788" s="26">
        <f>IFERROR(__xludf.DUMMYFUNCTION("""COMPUTED_VALUE"""),0.84)</f>
        <v>0.84</v>
      </c>
    </row>
    <row r="789">
      <c r="A789" s="26" t="str">
        <f>IFERROR(__xludf.DUMMYFUNCTION("""COMPUTED_VALUE"""),"CA-2014-166744")</f>
        <v>CA-2014-166744</v>
      </c>
      <c r="B789" s="27">
        <f>IFERROR(__xludf.DUMMYFUNCTION("""COMPUTED_VALUE"""),41902.0)</f>
        <v>41902</v>
      </c>
      <c r="C789" s="26" t="str">
        <f>IFERROR(__xludf.DUMMYFUNCTION("""COMPUTED_VALUE"""),"Consumer")</f>
        <v>Consumer</v>
      </c>
      <c r="D789" s="26" t="str">
        <f>IFERROR(__xludf.DUMMYFUNCTION("""COMPUTED_VALUE"""),"Maryland")</f>
        <v>Maryland</v>
      </c>
      <c r="E789" s="26" t="str">
        <f>IFERROR(__xludf.DUMMYFUNCTION("""COMPUTED_VALUE"""),"East")</f>
        <v>East</v>
      </c>
      <c r="F789" s="26">
        <f>IFERROR(__xludf.DUMMYFUNCTION("""COMPUTED_VALUE"""),164.22)</f>
        <v>164.22</v>
      </c>
      <c r="G789" s="26">
        <f>IFERROR(__xludf.DUMMYFUNCTION("""COMPUTED_VALUE"""),3.0)</f>
        <v>3</v>
      </c>
      <c r="H789" s="26">
        <f>IFERROR(__xludf.DUMMYFUNCTION("""COMPUTED_VALUE"""),50.9082)</f>
        <v>50.9082</v>
      </c>
    </row>
    <row r="790">
      <c r="A790" s="26" t="str">
        <f>IFERROR(__xludf.DUMMYFUNCTION("""COMPUTED_VALUE"""),"CA-2014-103331")</f>
        <v>CA-2014-103331</v>
      </c>
      <c r="B790" s="27">
        <f>IFERROR(__xludf.DUMMYFUNCTION("""COMPUTED_VALUE"""),41877.0)</f>
        <v>41877</v>
      </c>
      <c r="C790" s="26" t="str">
        <f>IFERROR(__xludf.DUMMYFUNCTION("""COMPUTED_VALUE"""),"Consumer")</f>
        <v>Consumer</v>
      </c>
      <c r="D790" s="26" t="str">
        <f>IFERROR(__xludf.DUMMYFUNCTION("""COMPUTED_VALUE"""),"Delaware")</f>
        <v>Delaware</v>
      </c>
      <c r="E790" s="26" t="str">
        <f>IFERROR(__xludf.DUMMYFUNCTION("""COMPUTED_VALUE"""),"East")</f>
        <v>East</v>
      </c>
      <c r="F790" s="26">
        <f>IFERROR(__xludf.DUMMYFUNCTION("""COMPUTED_VALUE"""),10.68)</f>
        <v>10.68</v>
      </c>
      <c r="G790" s="26">
        <f>IFERROR(__xludf.DUMMYFUNCTION("""COMPUTED_VALUE"""),4.0)</f>
        <v>4</v>
      </c>
      <c r="H790" s="26">
        <f>IFERROR(__xludf.DUMMYFUNCTION("""COMPUTED_VALUE"""),4.0584)</f>
        <v>4.0584</v>
      </c>
    </row>
    <row r="791">
      <c r="A791" s="26" t="str">
        <f>IFERROR(__xludf.DUMMYFUNCTION("""COMPUTED_VALUE"""),"CA-2014-125542")</f>
        <v>CA-2014-125542</v>
      </c>
      <c r="B791" s="27">
        <f>IFERROR(__xludf.DUMMYFUNCTION("""COMPUTED_VALUE"""),41978.0)</f>
        <v>41978</v>
      </c>
      <c r="C791" s="26" t="str">
        <f>IFERROR(__xludf.DUMMYFUNCTION("""COMPUTED_VALUE"""),"Corporate")</f>
        <v>Corporate</v>
      </c>
      <c r="D791" s="26" t="str">
        <f>IFERROR(__xludf.DUMMYFUNCTION("""COMPUTED_VALUE"""),"Pennsylvania")</f>
        <v>Pennsylvania</v>
      </c>
      <c r="E791" s="26" t="str">
        <f>IFERROR(__xludf.DUMMYFUNCTION("""COMPUTED_VALUE"""),"East")</f>
        <v>East</v>
      </c>
      <c r="F791" s="26">
        <f>IFERROR(__xludf.DUMMYFUNCTION("""COMPUTED_VALUE"""),348.488)</f>
        <v>348.488</v>
      </c>
      <c r="G791" s="26">
        <f>IFERROR(__xludf.DUMMYFUNCTION("""COMPUTED_VALUE"""),7.0)</f>
        <v>7</v>
      </c>
      <c r="H791" s="26">
        <f>IFERROR(__xludf.DUMMYFUNCTION("""COMPUTED_VALUE"""),117.6147)</f>
        <v>117.6147</v>
      </c>
    </row>
    <row r="792">
      <c r="A792" s="26" t="str">
        <f>IFERROR(__xludf.DUMMYFUNCTION("""COMPUTED_VALUE"""),"US-2014-123183")</f>
        <v>US-2014-123183</v>
      </c>
      <c r="B792" s="29">
        <f>IFERROR(__xludf.DUMMYFUNCTION("""COMPUTED_VALUE"""),41962.0)</f>
        <v>41962</v>
      </c>
      <c r="C792" s="26" t="str">
        <f>IFERROR(__xludf.DUMMYFUNCTION("""COMPUTED_VALUE"""),"Corporate")</f>
        <v>Corporate</v>
      </c>
      <c r="D792" s="26" t="str">
        <f>IFERROR(__xludf.DUMMYFUNCTION("""COMPUTED_VALUE"""),"Delaware")</f>
        <v>Delaware</v>
      </c>
      <c r="E792" s="26" t="str">
        <f>IFERROR(__xludf.DUMMYFUNCTION("""COMPUTED_VALUE"""),"East")</f>
        <v>East</v>
      </c>
      <c r="F792" s="26">
        <f>IFERROR(__xludf.DUMMYFUNCTION("""COMPUTED_VALUE"""),22.5)</f>
        <v>22.5</v>
      </c>
      <c r="G792" s="26">
        <f>IFERROR(__xludf.DUMMYFUNCTION("""COMPUTED_VALUE"""),6.0)</f>
        <v>6</v>
      </c>
      <c r="H792" s="26">
        <f>IFERROR(__xludf.DUMMYFUNCTION("""COMPUTED_VALUE"""),10.8)</f>
        <v>10.8</v>
      </c>
    </row>
    <row r="793">
      <c r="A793" s="26" t="str">
        <f>IFERROR(__xludf.DUMMYFUNCTION("""COMPUTED_VALUE"""),"CA-2014-151162")</f>
        <v>CA-2014-151162</v>
      </c>
      <c r="B793" s="27">
        <f>IFERROR(__xludf.DUMMYFUNCTION("""COMPUTED_VALUE"""),41978.0)</f>
        <v>41978</v>
      </c>
      <c r="C793" s="26" t="str">
        <f>IFERROR(__xludf.DUMMYFUNCTION("""COMPUTED_VALUE"""),"Corporate")</f>
        <v>Corporate</v>
      </c>
      <c r="D793" s="26" t="str">
        <f>IFERROR(__xludf.DUMMYFUNCTION("""COMPUTED_VALUE"""),"Ohio")</f>
        <v>Ohio</v>
      </c>
      <c r="E793" s="26" t="str">
        <f>IFERROR(__xludf.DUMMYFUNCTION("""COMPUTED_VALUE"""),"East")</f>
        <v>East</v>
      </c>
      <c r="F793" s="26">
        <f>IFERROR(__xludf.DUMMYFUNCTION("""COMPUTED_VALUE"""),98.376)</f>
        <v>98.376</v>
      </c>
      <c r="G793" s="26">
        <f>IFERROR(__xludf.DUMMYFUNCTION("""COMPUTED_VALUE"""),3.0)</f>
        <v>3</v>
      </c>
      <c r="H793" s="26">
        <f>IFERROR(__xludf.DUMMYFUNCTION("""COMPUTED_VALUE"""),35.6613)</f>
        <v>35.6613</v>
      </c>
    </row>
    <row r="794">
      <c r="A794" s="26" t="str">
        <f>IFERROR(__xludf.DUMMYFUNCTION("""COMPUTED_VALUE"""),"CA-2014-164742")</f>
        <v>CA-2014-164742</v>
      </c>
      <c r="B794" s="29">
        <f>IFERROR(__xludf.DUMMYFUNCTION("""COMPUTED_VALUE"""),41925.0)</f>
        <v>41925</v>
      </c>
      <c r="C794" s="26" t="str">
        <f>IFERROR(__xludf.DUMMYFUNCTION("""COMPUTED_VALUE"""),"Corporate")</f>
        <v>Corporate</v>
      </c>
      <c r="D794" s="26" t="str">
        <f>IFERROR(__xludf.DUMMYFUNCTION("""COMPUTED_VALUE"""),"New Jersey")</f>
        <v>New Jersey</v>
      </c>
      <c r="E794" s="26" t="str">
        <f>IFERROR(__xludf.DUMMYFUNCTION("""COMPUTED_VALUE"""),"East")</f>
        <v>East</v>
      </c>
      <c r="F794" s="26">
        <f>IFERROR(__xludf.DUMMYFUNCTION("""COMPUTED_VALUE"""),245.98)</f>
        <v>245.98</v>
      </c>
      <c r="G794" s="26">
        <f>IFERROR(__xludf.DUMMYFUNCTION("""COMPUTED_VALUE"""),2.0)</f>
        <v>2</v>
      </c>
      <c r="H794" s="26">
        <f>IFERROR(__xludf.DUMMYFUNCTION("""COMPUTED_VALUE"""),27.0578)</f>
        <v>27.0578</v>
      </c>
    </row>
    <row r="795">
      <c r="A795" s="26" t="str">
        <f>IFERROR(__xludf.DUMMYFUNCTION("""COMPUTED_VALUE"""),"CA-2014-108903")</f>
        <v>CA-2014-108903</v>
      </c>
      <c r="B795" s="27">
        <f>IFERROR(__xludf.DUMMYFUNCTION("""COMPUTED_VALUE"""),41915.0)</f>
        <v>41915</v>
      </c>
      <c r="C795" s="26" t="str">
        <f>IFERROR(__xludf.DUMMYFUNCTION("""COMPUTED_VALUE"""),"Consumer")</f>
        <v>Consumer</v>
      </c>
      <c r="D795" s="26" t="str">
        <f>IFERROR(__xludf.DUMMYFUNCTION("""COMPUTED_VALUE"""),"Ohio")</f>
        <v>Ohio</v>
      </c>
      <c r="E795" s="26" t="str">
        <f>IFERROR(__xludf.DUMMYFUNCTION("""COMPUTED_VALUE"""),"East")</f>
        <v>East</v>
      </c>
      <c r="F795" s="26">
        <f>IFERROR(__xludf.DUMMYFUNCTION("""COMPUTED_VALUE"""),55.984)</f>
        <v>55.984</v>
      </c>
      <c r="G795" s="26">
        <f>IFERROR(__xludf.DUMMYFUNCTION("""COMPUTED_VALUE"""),2.0)</f>
        <v>2</v>
      </c>
      <c r="H795" s="26">
        <f>IFERROR(__xludf.DUMMYFUNCTION("""COMPUTED_VALUE"""),4.1988)</f>
        <v>4.1988</v>
      </c>
    </row>
    <row r="796">
      <c r="A796" s="26" t="str">
        <f>IFERROR(__xludf.DUMMYFUNCTION("""COMPUTED_VALUE"""),"CA-2014-147900")</f>
        <v>CA-2014-147900</v>
      </c>
      <c r="B796" s="27">
        <f>IFERROR(__xludf.DUMMYFUNCTION("""COMPUTED_VALUE"""),41905.0)</f>
        <v>41905</v>
      </c>
      <c r="C796" s="26" t="str">
        <f>IFERROR(__xludf.DUMMYFUNCTION("""COMPUTED_VALUE"""),"Home Office")</f>
        <v>Home Office</v>
      </c>
      <c r="D796" s="26" t="str">
        <f>IFERROR(__xludf.DUMMYFUNCTION("""COMPUTED_VALUE"""),"Ohio")</f>
        <v>Ohio</v>
      </c>
      <c r="E796" s="26" t="str">
        <f>IFERROR(__xludf.DUMMYFUNCTION("""COMPUTED_VALUE"""),"East")</f>
        <v>East</v>
      </c>
      <c r="F796" s="26">
        <f>IFERROR(__xludf.DUMMYFUNCTION("""COMPUTED_VALUE"""),28.8)</f>
        <v>28.8</v>
      </c>
      <c r="G796" s="26">
        <f>IFERROR(__xludf.DUMMYFUNCTION("""COMPUTED_VALUE"""),9.0)</f>
        <v>9</v>
      </c>
      <c r="H796" s="26">
        <f>IFERROR(__xludf.DUMMYFUNCTION("""COMPUTED_VALUE"""),10.08)</f>
        <v>10.08</v>
      </c>
    </row>
    <row r="797">
      <c r="A797" s="26" t="str">
        <f>IFERROR(__xludf.DUMMYFUNCTION("""COMPUTED_VALUE"""),"US-2014-123519")</f>
        <v>US-2014-123519</v>
      </c>
      <c r="B797" s="29">
        <f>IFERROR(__xludf.DUMMYFUNCTION("""COMPUTED_VALUE"""),41987.0)</f>
        <v>41987</v>
      </c>
      <c r="C797" s="26" t="str">
        <f>IFERROR(__xludf.DUMMYFUNCTION("""COMPUTED_VALUE"""),"Consumer")</f>
        <v>Consumer</v>
      </c>
      <c r="D797" s="26" t="str">
        <f>IFERROR(__xludf.DUMMYFUNCTION("""COMPUTED_VALUE"""),"Ohio")</f>
        <v>Ohio</v>
      </c>
      <c r="E797" s="26" t="str">
        <f>IFERROR(__xludf.DUMMYFUNCTION("""COMPUTED_VALUE"""),"East")</f>
        <v>East</v>
      </c>
      <c r="F797" s="26">
        <f>IFERROR(__xludf.DUMMYFUNCTION("""COMPUTED_VALUE"""),2.624)</f>
        <v>2.624</v>
      </c>
      <c r="G797" s="26">
        <f>IFERROR(__xludf.DUMMYFUNCTION("""COMPUTED_VALUE"""),1.0)</f>
        <v>1</v>
      </c>
      <c r="H797" s="26">
        <f>IFERROR(__xludf.DUMMYFUNCTION("""COMPUTED_VALUE"""),0.2952)</f>
        <v>0.2952</v>
      </c>
    </row>
    <row r="798">
      <c r="A798" s="26" t="str">
        <f>IFERROR(__xludf.DUMMYFUNCTION("""COMPUTED_VALUE"""),"CA-2014-155593")</f>
        <v>CA-2014-155593</v>
      </c>
      <c r="B798" s="27">
        <f>IFERROR(__xludf.DUMMYFUNCTION("""COMPUTED_VALUE"""),41946.0)</f>
        <v>41946</v>
      </c>
      <c r="C798" s="26" t="str">
        <f>IFERROR(__xludf.DUMMYFUNCTION("""COMPUTED_VALUE"""),"Consumer")</f>
        <v>Consumer</v>
      </c>
      <c r="D798" s="26" t="str">
        <f>IFERROR(__xludf.DUMMYFUNCTION("""COMPUTED_VALUE"""),"Connecticut")</f>
        <v>Connecticut</v>
      </c>
      <c r="E798" s="26" t="str">
        <f>IFERROR(__xludf.DUMMYFUNCTION("""COMPUTED_VALUE"""),"East")</f>
        <v>East</v>
      </c>
      <c r="F798" s="26">
        <f>IFERROR(__xludf.DUMMYFUNCTION("""COMPUTED_VALUE"""),11.64)</f>
        <v>11.64</v>
      </c>
      <c r="G798" s="26">
        <f>IFERROR(__xludf.DUMMYFUNCTION("""COMPUTED_VALUE"""),3.0)</f>
        <v>3</v>
      </c>
      <c r="H798" s="26">
        <f>IFERROR(__xludf.DUMMYFUNCTION("""COMPUTED_VALUE"""),3.3756)</f>
        <v>3.3756</v>
      </c>
    </row>
    <row r="799">
      <c r="A799" s="26" t="str">
        <f>IFERROR(__xludf.DUMMYFUNCTION("""COMPUTED_VALUE"""),"US-2014-143707")</f>
        <v>US-2014-143707</v>
      </c>
      <c r="B799" s="27">
        <f>IFERROR(__xludf.DUMMYFUNCTION("""COMPUTED_VALUE"""),41699.0)</f>
        <v>41699</v>
      </c>
      <c r="C799" s="26" t="str">
        <f>IFERROR(__xludf.DUMMYFUNCTION("""COMPUTED_VALUE"""),"Home Office")</f>
        <v>Home Office</v>
      </c>
      <c r="D799" s="26" t="str">
        <f>IFERROR(__xludf.DUMMYFUNCTION("""COMPUTED_VALUE"""),"New York")</f>
        <v>New York</v>
      </c>
      <c r="E799" s="26" t="str">
        <f>IFERROR(__xludf.DUMMYFUNCTION("""COMPUTED_VALUE"""),"East")</f>
        <v>East</v>
      </c>
      <c r="F799" s="26">
        <f>IFERROR(__xludf.DUMMYFUNCTION("""COMPUTED_VALUE"""),5.94)</f>
        <v>5.94</v>
      </c>
      <c r="G799" s="26">
        <f>IFERROR(__xludf.DUMMYFUNCTION("""COMPUTED_VALUE"""),3.0)</f>
        <v>3</v>
      </c>
      <c r="H799" s="26">
        <f>IFERROR(__xludf.DUMMYFUNCTION("""COMPUTED_VALUE"""),1.6038)</f>
        <v>1.6038</v>
      </c>
    </row>
    <row r="800">
      <c r="A800" s="26" t="str">
        <f>IFERROR(__xludf.DUMMYFUNCTION("""COMPUTED_VALUE"""),"CA-2014-111773")</f>
        <v>CA-2014-111773</v>
      </c>
      <c r="B800" s="27">
        <f>IFERROR(__xludf.DUMMYFUNCTION("""COMPUTED_VALUE"""),41819.0)</f>
        <v>41819</v>
      </c>
      <c r="C800" s="26" t="str">
        <f>IFERROR(__xludf.DUMMYFUNCTION("""COMPUTED_VALUE"""),"Consumer")</f>
        <v>Consumer</v>
      </c>
      <c r="D800" s="26" t="str">
        <f>IFERROR(__xludf.DUMMYFUNCTION("""COMPUTED_VALUE"""),"New York")</f>
        <v>New York</v>
      </c>
      <c r="E800" s="26" t="str">
        <f>IFERROR(__xludf.DUMMYFUNCTION("""COMPUTED_VALUE"""),"East")</f>
        <v>East</v>
      </c>
      <c r="F800" s="26">
        <f>IFERROR(__xludf.DUMMYFUNCTION("""COMPUTED_VALUE"""),13.92)</f>
        <v>13.92</v>
      </c>
      <c r="G800" s="26">
        <f>IFERROR(__xludf.DUMMYFUNCTION("""COMPUTED_VALUE"""),3.0)</f>
        <v>3</v>
      </c>
      <c r="H800" s="26">
        <f>IFERROR(__xludf.DUMMYFUNCTION("""COMPUTED_VALUE"""),4.872)</f>
        <v>4.872</v>
      </c>
    </row>
    <row r="801">
      <c r="A801" s="26" t="str">
        <f>IFERROR(__xludf.DUMMYFUNCTION("""COMPUTED_VALUE"""),"CA-2014-124856")</f>
        <v>CA-2014-124856</v>
      </c>
      <c r="B801" s="27">
        <f>IFERROR(__xludf.DUMMYFUNCTION("""COMPUTED_VALUE"""),41911.0)</f>
        <v>41911</v>
      </c>
      <c r="C801" s="26" t="str">
        <f>IFERROR(__xludf.DUMMYFUNCTION("""COMPUTED_VALUE"""),"Consumer")</f>
        <v>Consumer</v>
      </c>
      <c r="D801" s="26" t="str">
        <f>IFERROR(__xludf.DUMMYFUNCTION("""COMPUTED_VALUE"""),"New York")</f>
        <v>New York</v>
      </c>
      <c r="E801" s="26" t="str">
        <f>IFERROR(__xludf.DUMMYFUNCTION("""COMPUTED_VALUE"""),"East")</f>
        <v>East</v>
      </c>
      <c r="F801" s="26">
        <f>IFERROR(__xludf.DUMMYFUNCTION("""COMPUTED_VALUE"""),1395.54)</f>
        <v>1395.54</v>
      </c>
      <c r="G801" s="26">
        <f>IFERROR(__xludf.DUMMYFUNCTION("""COMPUTED_VALUE"""),9.0)</f>
        <v>9</v>
      </c>
      <c r="H801" s="26">
        <f>IFERROR(__xludf.DUMMYFUNCTION("""COMPUTED_VALUE"""),362.8404)</f>
        <v>362.8404</v>
      </c>
    </row>
    <row r="802">
      <c r="A802" s="26" t="str">
        <f>IFERROR(__xludf.DUMMYFUNCTION("""COMPUTED_VALUE"""),"CA-2014-124730")</f>
        <v>CA-2014-124730</v>
      </c>
      <c r="B802" s="29">
        <f>IFERROR(__xludf.DUMMYFUNCTION("""COMPUTED_VALUE"""),41969.0)</f>
        <v>41969</v>
      </c>
      <c r="C802" s="26" t="str">
        <f>IFERROR(__xludf.DUMMYFUNCTION("""COMPUTED_VALUE"""),"Consumer")</f>
        <v>Consumer</v>
      </c>
      <c r="D802" s="26" t="str">
        <f>IFERROR(__xludf.DUMMYFUNCTION("""COMPUTED_VALUE"""),"New York")</f>
        <v>New York</v>
      </c>
      <c r="E802" s="26" t="str">
        <f>IFERROR(__xludf.DUMMYFUNCTION("""COMPUTED_VALUE"""),"East")</f>
        <v>East</v>
      </c>
      <c r="F802" s="26">
        <f>IFERROR(__xludf.DUMMYFUNCTION("""COMPUTED_VALUE"""),279.96)</f>
        <v>279.96</v>
      </c>
      <c r="G802" s="26">
        <f>IFERROR(__xludf.DUMMYFUNCTION("""COMPUTED_VALUE"""),4.0)</f>
        <v>4</v>
      </c>
      <c r="H802" s="26">
        <f>IFERROR(__xludf.DUMMYFUNCTION("""COMPUTED_VALUE"""),78.3888)</f>
        <v>78.3888</v>
      </c>
    </row>
    <row r="803">
      <c r="A803" s="26" t="str">
        <f>IFERROR(__xludf.DUMMYFUNCTION("""COMPUTED_VALUE"""),"CA-2014-115056")</f>
        <v>CA-2014-115056</v>
      </c>
      <c r="B803" s="27">
        <f>IFERROR(__xludf.DUMMYFUNCTION("""COMPUTED_VALUE"""),41761.0)</f>
        <v>41761</v>
      </c>
      <c r="C803" s="26" t="str">
        <f>IFERROR(__xludf.DUMMYFUNCTION("""COMPUTED_VALUE"""),"Consumer")</f>
        <v>Consumer</v>
      </c>
      <c r="D803" s="26" t="str">
        <f>IFERROR(__xludf.DUMMYFUNCTION("""COMPUTED_VALUE"""),"Ohio")</f>
        <v>Ohio</v>
      </c>
      <c r="E803" s="26" t="str">
        <f>IFERROR(__xludf.DUMMYFUNCTION("""COMPUTED_VALUE"""),"East")</f>
        <v>East</v>
      </c>
      <c r="F803" s="26">
        <f>IFERROR(__xludf.DUMMYFUNCTION("""COMPUTED_VALUE"""),26.136)</f>
        <v>26.136</v>
      </c>
      <c r="G803" s="26">
        <f>IFERROR(__xludf.DUMMYFUNCTION("""COMPUTED_VALUE"""),3.0)</f>
        <v>3</v>
      </c>
      <c r="H803" s="26">
        <f>IFERROR(__xludf.DUMMYFUNCTION("""COMPUTED_VALUE"""),1.9602)</f>
        <v>1.9602</v>
      </c>
    </row>
    <row r="804">
      <c r="A804" s="26" t="str">
        <f>IFERROR(__xludf.DUMMYFUNCTION("""COMPUTED_VALUE"""),"US-2014-117968")</f>
        <v>US-2014-117968</v>
      </c>
      <c r="B804" s="27">
        <f>IFERROR(__xludf.DUMMYFUNCTION("""COMPUTED_VALUE"""),41856.0)</f>
        <v>41856</v>
      </c>
      <c r="C804" s="26" t="str">
        <f>IFERROR(__xludf.DUMMYFUNCTION("""COMPUTED_VALUE"""),"Corporate")</f>
        <v>Corporate</v>
      </c>
      <c r="D804" s="26" t="str">
        <f>IFERROR(__xludf.DUMMYFUNCTION("""COMPUTED_VALUE"""),"Connecticut")</f>
        <v>Connecticut</v>
      </c>
      <c r="E804" s="26" t="str">
        <f>IFERROR(__xludf.DUMMYFUNCTION("""COMPUTED_VALUE"""),"East")</f>
        <v>East</v>
      </c>
      <c r="F804" s="26">
        <f>IFERROR(__xludf.DUMMYFUNCTION("""COMPUTED_VALUE"""),79.47)</f>
        <v>79.47</v>
      </c>
      <c r="G804" s="26">
        <f>IFERROR(__xludf.DUMMYFUNCTION("""COMPUTED_VALUE"""),3.0)</f>
        <v>3</v>
      </c>
      <c r="H804" s="26">
        <f>IFERROR(__xludf.DUMMYFUNCTION("""COMPUTED_VALUE"""),22.2516)</f>
        <v>22.2516</v>
      </c>
    </row>
    <row r="805">
      <c r="A805" s="26" t="str">
        <f>IFERROR(__xludf.DUMMYFUNCTION("""COMPUTED_VALUE"""),"CA-2014-152443")</f>
        <v>CA-2014-152443</v>
      </c>
      <c r="B805" s="27">
        <f>IFERROR(__xludf.DUMMYFUNCTION("""COMPUTED_VALUE"""),41780.0)</f>
        <v>41780</v>
      </c>
      <c r="C805" s="26" t="str">
        <f>IFERROR(__xludf.DUMMYFUNCTION("""COMPUTED_VALUE"""),"Home Office")</f>
        <v>Home Office</v>
      </c>
      <c r="D805" s="26" t="str">
        <f>IFERROR(__xludf.DUMMYFUNCTION("""COMPUTED_VALUE"""),"Massachusetts")</f>
        <v>Massachusetts</v>
      </c>
      <c r="E805" s="26" t="str">
        <f>IFERROR(__xludf.DUMMYFUNCTION("""COMPUTED_VALUE"""),"East")</f>
        <v>East</v>
      </c>
      <c r="F805" s="26">
        <f>IFERROR(__xludf.DUMMYFUNCTION("""COMPUTED_VALUE"""),447.86)</f>
        <v>447.86</v>
      </c>
      <c r="G805" s="26">
        <f>IFERROR(__xludf.DUMMYFUNCTION("""COMPUTED_VALUE"""),7.0)</f>
        <v>7</v>
      </c>
      <c r="H805" s="26">
        <f>IFERROR(__xludf.DUMMYFUNCTION("""COMPUTED_VALUE"""),219.4514)</f>
        <v>219.4514</v>
      </c>
    </row>
    <row r="806">
      <c r="A806" s="26" t="str">
        <f>IFERROR(__xludf.DUMMYFUNCTION("""COMPUTED_VALUE"""),"US-2014-105151")</f>
        <v>US-2014-105151</v>
      </c>
      <c r="B806" s="27">
        <f>IFERROR(__xludf.DUMMYFUNCTION("""COMPUTED_VALUE"""),41728.0)</f>
        <v>41728</v>
      </c>
      <c r="C806" s="26" t="str">
        <f>IFERROR(__xludf.DUMMYFUNCTION("""COMPUTED_VALUE"""),"Corporate")</f>
        <v>Corporate</v>
      </c>
      <c r="D806" s="26" t="str">
        <f>IFERROR(__xludf.DUMMYFUNCTION("""COMPUTED_VALUE"""),"New York")</f>
        <v>New York</v>
      </c>
      <c r="E806" s="26" t="str">
        <f>IFERROR(__xludf.DUMMYFUNCTION("""COMPUTED_VALUE"""),"East")</f>
        <v>East</v>
      </c>
      <c r="F806" s="26">
        <f>IFERROR(__xludf.DUMMYFUNCTION("""COMPUTED_VALUE"""),10.5)</f>
        <v>10.5</v>
      </c>
      <c r="G806" s="26">
        <f>IFERROR(__xludf.DUMMYFUNCTION("""COMPUTED_VALUE"""),5.0)</f>
        <v>5</v>
      </c>
      <c r="H806" s="26">
        <f>IFERROR(__xludf.DUMMYFUNCTION("""COMPUTED_VALUE"""),2.94)</f>
        <v>2.94</v>
      </c>
    </row>
    <row r="807">
      <c r="A807" s="26" t="str">
        <f>IFERROR(__xludf.DUMMYFUNCTION("""COMPUTED_VALUE"""),"CA-2014-155796")</f>
        <v>CA-2014-155796</v>
      </c>
      <c r="B807" s="29">
        <f>IFERROR(__xludf.DUMMYFUNCTION("""COMPUTED_VALUE"""),41954.0)</f>
        <v>41954</v>
      </c>
      <c r="C807" s="26" t="str">
        <f>IFERROR(__xludf.DUMMYFUNCTION("""COMPUTED_VALUE"""),"Corporate")</f>
        <v>Corporate</v>
      </c>
      <c r="D807" s="26" t="str">
        <f>IFERROR(__xludf.DUMMYFUNCTION("""COMPUTED_VALUE"""),"Pennsylvania")</f>
        <v>Pennsylvania</v>
      </c>
      <c r="E807" s="26" t="str">
        <f>IFERROR(__xludf.DUMMYFUNCTION("""COMPUTED_VALUE"""),"East")</f>
        <v>East</v>
      </c>
      <c r="F807" s="26">
        <f>IFERROR(__xludf.DUMMYFUNCTION("""COMPUTED_VALUE"""),23.968)</f>
        <v>23.968</v>
      </c>
      <c r="G807" s="26">
        <f>IFERROR(__xludf.DUMMYFUNCTION("""COMPUTED_VALUE"""),2.0)</f>
        <v>2</v>
      </c>
      <c r="H807" s="26">
        <f>IFERROR(__xludf.DUMMYFUNCTION("""COMPUTED_VALUE"""),7.7896)</f>
        <v>7.7896</v>
      </c>
    </row>
    <row r="808">
      <c r="A808" s="26" t="str">
        <f>IFERROR(__xludf.DUMMYFUNCTION("""COMPUTED_VALUE"""),"CA-2014-152422")</f>
        <v>CA-2014-152422</v>
      </c>
      <c r="B808" s="27">
        <f>IFERROR(__xludf.DUMMYFUNCTION("""COMPUTED_VALUE"""),41917.0)</f>
        <v>41917</v>
      </c>
      <c r="C808" s="26" t="str">
        <f>IFERROR(__xludf.DUMMYFUNCTION("""COMPUTED_VALUE"""),"Consumer")</f>
        <v>Consumer</v>
      </c>
      <c r="D808" s="26" t="str">
        <f>IFERROR(__xludf.DUMMYFUNCTION("""COMPUTED_VALUE"""),"Ohio")</f>
        <v>Ohio</v>
      </c>
      <c r="E808" s="26" t="str">
        <f>IFERROR(__xludf.DUMMYFUNCTION("""COMPUTED_VALUE"""),"East")</f>
        <v>East</v>
      </c>
      <c r="F808" s="26">
        <f>IFERROR(__xludf.DUMMYFUNCTION("""COMPUTED_VALUE"""),91.92)</f>
        <v>91.92</v>
      </c>
      <c r="G808" s="26">
        <f>IFERROR(__xludf.DUMMYFUNCTION("""COMPUTED_VALUE"""),5.0)</f>
        <v>5</v>
      </c>
      <c r="H808" s="26">
        <f>IFERROR(__xludf.DUMMYFUNCTION("""COMPUTED_VALUE"""),11.49)</f>
        <v>11.49</v>
      </c>
    </row>
    <row r="809">
      <c r="A809" s="26" t="str">
        <f>IFERROR(__xludf.DUMMYFUNCTION("""COMPUTED_VALUE"""),"CA-2014-107524")</f>
        <v>CA-2014-107524</v>
      </c>
      <c r="B809" s="27">
        <f>IFERROR(__xludf.DUMMYFUNCTION("""COMPUTED_VALUE"""),41700.0)</f>
        <v>41700</v>
      </c>
      <c r="C809" s="26" t="str">
        <f>IFERROR(__xludf.DUMMYFUNCTION("""COMPUTED_VALUE"""),"Home Office")</f>
        <v>Home Office</v>
      </c>
      <c r="D809" s="26" t="str">
        <f>IFERROR(__xludf.DUMMYFUNCTION("""COMPUTED_VALUE"""),"New York")</f>
        <v>New York</v>
      </c>
      <c r="E809" s="26" t="str">
        <f>IFERROR(__xludf.DUMMYFUNCTION("""COMPUTED_VALUE"""),"East")</f>
        <v>East</v>
      </c>
      <c r="F809" s="26">
        <f>IFERROR(__xludf.DUMMYFUNCTION("""COMPUTED_VALUE"""),11.36)</f>
        <v>11.36</v>
      </c>
      <c r="G809" s="26">
        <f>IFERROR(__xludf.DUMMYFUNCTION("""COMPUTED_VALUE"""),2.0)</f>
        <v>2</v>
      </c>
      <c r="H809" s="26">
        <f>IFERROR(__xludf.DUMMYFUNCTION("""COMPUTED_VALUE"""),5.3392)</f>
        <v>5.3392</v>
      </c>
    </row>
    <row r="810">
      <c r="A810" s="26" t="str">
        <f>IFERROR(__xludf.DUMMYFUNCTION("""COMPUTED_VALUE"""),"CA-2014-138072")</f>
        <v>CA-2014-138072</v>
      </c>
      <c r="B810" s="29">
        <f>IFERROR(__xludf.DUMMYFUNCTION("""COMPUTED_VALUE"""),42003.0)</f>
        <v>42003</v>
      </c>
      <c r="C810" s="26" t="str">
        <f>IFERROR(__xludf.DUMMYFUNCTION("""COMPUTED_VALUE"""),"Consumer")</f>
        <v>Consumer</v>
      </c>
      <c r="D810" s="26" t="str">
        <f>IFERROR(__xludf.DUMMYFUNCTION("""COMPUTED_VALUE"""),"Pennsylvania")</f>
        <v>Pennsylvania</v>
      </c>
      <c r="E810" s="26" t="str">
        <f>IFERROR(__xludf.DUMMYFUNCTION("""COMPUTED_VALUE"""),"East")</f>
        <v>East</v>
      </c>
      <c r="F810" s="26">
        <f>IFERROR(__xludf.DUMMYFUNCTION("""COMPUTED_VALUE"""),27.968)</f>
        <v>27.968</v>
      </c>
      <c r="G810" s="26">
        <f>IFERROR(__xludf.DUMMYFUNCTION("""COMPUTED_VALUE"""),2.0)</f>
        <v>2</v>
      </c>
      <c r="H810" s="26">
        <f>IFERROR(__xludf.DUMMYFUNCTION("""COMPUTED_VALUE"""),6.992)</f>
        <v>6.992</v>
      </c>
    </row>
    <row r="811">
      <c r="A811" s="26" t="str">
        <f>IFERROR(__xludf.DUMMYFUNCTION("""COMPUTED_VALUE"""),"CA-2014-163447")</f>
        <v>CA-2014-163447</v>
      </c>
      <c r="B811" s="29">
        <f>IFERROR(__xludf.DUMMYFUNCTION("""COMPUTED_VALUE"""),42000.0)</f>
        <v>42000</v>
      </c>
      <c r="C811" s="26" t="str">
        <f>IFERROR(__xludf.DUMMYFUNCTION("""COMPUTED_VALUE"""),"Home Office")</f>
        <v>Home Office</v>
      </c>
      <c r="D811" s="26" t="str">
        <f>IFERROR(__xludf.DUMMYFUNCTION("""COMPUTED_VALUE"""),"New York")</f>
        <v>New York</v>
      </c>
      <c r="E811" s="26" t="str">
        <f>IFERROR(__xludf.DUMMYFUNCTION("""COMPUTED_VALUE"""),"East")</f>
        <v>East</v>
      </c>
      <c r="F811" s="26">
        <f>IFERROR(__xludf.DUMMYFUNCTION("""COMPUTED_VALUE"""),767.214)</f>
        <v>767.214</v>
      </c>
      <c r="G811" s="26">
        <f>IFERROR(__xludf.DUMMYFUNCTION("""COMPUTED_VALUE"""),14.0)</f>
        <v>14</v>
      </c>
      <c r="H811" s="26">
        <f>IFERROR(__xludf.DUMMYFUNCTION("""COMPUTED_VALUE"""),161.9674)</f>
        <v>161.9674</v>
      </c>
    </row>
    <row r="812">
      <c r="A812" s="26" t="str">
        <f>IFERROR(__xludf.DUMMYFUNCTION("""COMPUTED_VALUE"""),"CA-2014-141152")</f>
        <v>CA-2014-141152</v>
      </c>
      <c r="B812" s="27">
        <f>IFERROR(__xludf.DUMMYFUNCTION("""COMPUTED_VALUE"""),41898.0)</f>
        <v>41898</v>
      </c>
      <c r="C812" s="26" t="str">
        <f>IFERROR(__xludf.DUMMYFUNCTION("""COMPUTED_VALUE"""),"Corporate")</f>
        <v>Corporate</v>
      </c>
      <c r="D812" s="26" t="str">
        <f>IFERROR(__xludf.DUMMYFUNCTION("""COMPUTED_VALUE"""),"New York")</f>
        <v>New York</v>
      </c>
      <c r="E812" s="26" t="str">
        <f>IFERROR(__xludf.DUMMYFUNCTION("""COMPUTED_VALUE"""),"East")</f>
        <v>East</v>
      </c>
      <c r="F812" s="26">
        <f>IFERROR(__xludf.DUMMYFUNCTION("""COMPUTED_VALUE"""),33.552)</f>
        <v>33.552</v>
      </c>
      <c r="G812" s="26">
        <f>IFERROR(__xludf.DUMMYFUNCTION("""COMPUTED_VALUE"""),1.0)</f>
        <v>1</v>
      </c>
      <c r="H812" s="26">
        <f>IFERROR(__xludf.DUMMYFUNCTION("""COMPUTED_VALUE"""),12.582)</f>
        <v>12.582</v>
      </c>
    </row>
    <row r="813">
      <c r="A813" s="26" t="str">
        <f>IFERROR(__xludf.DUMMYFUNCTION("""COMPUTED_VALUE"""),"CA-2014-141313")</f>
        <v>CA-2014-141313</v>
      </c>
      <c r="B813" s="29">
        <f>IFERROR(__xludf.DUMMYFUNCTION("""COMPUTED_VALUE"""),42001.0)</f>
        <v>42001</v>
      </c>
      <c r="C813" s="26" t="str">
        <f>IFERROR(__xludf.DUMMYFUNCTION("""COMPUTED_VALUE"""),"Corporate")</f>
        <v>Corporate</v>
      </c>
      <c r="D813" s="26" t="str">
        <f>IFERROR(__xludf.DUMMYFUNCTION("""COMPUTED_VALUE"""),"Massachusetts")</f>
        <v>Massachusetts</v>
      </c>
      <c r="E813" s="26" t="str">
        <f>IFERROR(__xludf.DUMMYFUNCTION("""COMPUTED_VALUE"""),"East")</f>
        <v>East</v>
      </c>
      <c r="F813" s="26">
        <f>IFERROR(__xludf.DUMMYFUNCTION("""COMPUTED_VALUE"""),1737.18)</f>
        <v>1737.18</v>
      </c>
      <c r="G813" s="26">
        <f>IFERROR(__xludf.DUMMYFUNCTION("""COMPUTED_VALUE"""),6.0)</f>
        <v>6</v>
      </c>
      <c r="H813" s="26">
        <f>IFERROR(__xludf.DUMMYFUNCTION("""COMPUTED_VALUE"""),503.7822)</f>
        <v>503.7822</v>
      </c>
    </row>
    <row r="814">
      <c r="A814" s="26" t="str">
        <f>IFERROR(__xludf.DUMMYFUNCTION("""COMPUTED_VALUE"""),"CA-2014-123316")</f>
        <v>CA-2014-123316</v>
      </c>
      <c r="B814" s="29">
        <f>IFERROR(__xludf.DUMMYFUNCTION("""COMPUTED_VALUE"""),41925.0)</f>
        <v>41925</v>
      </c>
      <c r="C814" s="26" t="str">
        <f>IFERROR(__xludf.DUMMYFUNCTION("""COMPUTED_VALUE"""),"Corporate")</f>
        <v>Corporate</v>
      </c>
      <c r="D814" s="26" t="str">
        <f>IFERROR(__xludf.DUMMYFUNCTION("""COMPUTED_VALUE"""),"New York")</f>
        <v>New York</v>
      </c>
      <c r="E814" s="26" t="str">
        <f>IFERROR(__xludf.DUMMYFUNCTION("""COMPUTED_VALUE"""),"East")</f>
        <v>East</v>
      </c>
      <c r="F814" s="26">
        <f>IFERROR(__xludf.DUMMYFUNCTION("""COMPUTED_VALUE"""),7.752)</f>
        <v>7.752</v>
      </c>
      <c r="G814" s="26">
        <f>IFERROR(__xludf.DUMMYFUNCTION("""COMPUTED_VALUE"""),3.0)</f>
        <v>3</v>
      </c>
      <c r="H814" s="26">
        <f>IFERROR(__xludf.DUMMYFUNCTION("""COMPUTED_VALUE"""),2.8101)</f>
        <v>2.8101</v>
      </c>
    </row>
    <row r="815">
      <c r="A815" s="26" t="str">
        <f>IFERROR(__xludf.DUMMYFUNCTION("""COMPUTED_VALUE"""),"CA-2014-104402")</f>
        <v>CA-2014-104402</v>
      </c>
      <c r="B815" s="27">
        <f>IFERROR(__xludf.DUMMYFUNCTION("""COMPUTED_VALUE"""),41807.0)</f>
        <v>41807</v>
      </c>
      <c r="C815" s="26" t="str">
        <f>IFERROR(__xludf.DUMMYFUNCTION("""COMPUTED_VALUE"""),"Consumer")</f>
        <v>Consumer</v>
      </c>
      <c r="D815" s="26" t="str">
        <f>IFERROR(__xludf.DUMMYFUNCTION("""COMPUTED_VALUE"""),"Delaware")</f>
        <v>Delaware</v>
      </c>
      <c r="E815" s="26" t="str">
        <f>IFERROR(__xludf.DUMMYFUNCTION("""COMPUTED_VALUE"""),"East")</f>
        <v>East</v>
      </c>
      <c r="F815" s="26">
        <f>IFERROR(__xludf.DUMMYFUNCTION("""COMPUTED_VALUE"""),65.97)</f>
        <v>65.97</v>
      </c>
      <c r="G815" s="26">
        <f>IFERROR(__xludf.DUMMYFUNCTION("""COMPUTED_VALUE"""),3.0)</f>
        <v>3</v>
      </c>
      <c r="H815" s="26">
        <f>IFERROR(__xludf.DUMMYFUNCTION("""COMPUTED_VALUE"""),31.0059)</f>
        <v>31.0059</v>
      </c>
    </row>
    <row r="816">
      <c r="A816" s="26" t="str">
        <f>IFERROR(__xludf.DUMMYFUNCTION("""COMPUTED_VALUE"""),"CA-2014-133305")</f>
        <v>CA-2014-133305</v>
      </c>
      <c r="B816" s="27">
        <f>IFERROR(__xludf.DUMMYFUNCTION("""COMPUTED_VALUE"""),41831.0)</f>
        <v>41831</v>
      </c>
      <c r="C816" s="26" t="str">
        <f>IFERROR(__xludf.DUMMYFUNCTION("""COMPUTED_VALUE"""),"Consumer")</f>
        <v>Consumer</v>
      </c>
      <c r="D816" s="26" t="str">
        <f>IFERROR(__xludf.DUMMYFUNCTION("""COMPUTED_VALUE"""),"New York")</f>
        <v>New York</v>
      </c>
      <c r="E816" s="26" t="str">
        <f>IFERROR(__xludf.DUMMYFUNCTION("""COMPUTED_VALUE"""),"East")</f>
        <v>East</v>
      </c>
      <c r="F816" s="26">
        <f>IFERROR(__xludf.DUMMYFUNCTION("""COMPUTED_VALUE"""),49.12)</f>
        <v>49.12</v>
      </c>
      <c r="G816" s="26">
        <f>IFERROR(__xludf.DUMMYFUNCTION("""COMPUTED_VALUE"""),4.0)</f>
        <v>4</v>
      </c>
      <c r="H816" s="26">
        <f>IFERROR(__xludf.DUMMYFUNCTION("""COMPUTED_VALUE"""),23.0864)</f>
        <v>23.0864</v>
      </c>
    </row>
    <row r="817">
      <c r="A817" s="26" t="str">
        <f>IFERROR(__xludf.DUMMYFUNCTION("""COMPUTED_VALUE"""),"CA-2014-110611")</f>
        <v>CA-2014-110611</v>
      </c>
      <c r="B817" s="27">
        <f>IFERROR(__xludf.DUMMYFUNCTION("""COMPUTED_VALUE"""),41918.0)</f>
        <v>41918</v>
      </c>
      <c r="C817" s="26" t="str">
        <f>IFERROR(__xludf.DUMMYFUNCTION("""COMPUTED_VALUE"""),"Consumer")</f>
        <v>Consumer</v>
      </c>
      <c r="D817" s="26" t="str">
        <f>IFERROR(__xludf.DUMMYFUNCTION("""COMPUTED_VALUE"""),"Pennsylvania")</f>
        <v>Pennsylvania</v>
      </c>
      <c r="E817" s="26" t="str">
        <f>IFERROR(__xludf.DUMMYFUNCTION("""COMPUTED_VALUE"""),"East")</f>
        <v>East</v>
      </c>
      <c r="F817" s="26">
        <f>IFERROR(__xludf.DUMMYFUNCTION("""COMPUTED_VALUE"""),83.92)</f>
        <v>83.92</v>
      </c>
      <c r="G817" s="26">
        <f>IFERROR(__xludf.DUMMYFUNCTION("""COMPUTED_VALUE"""),5.0)</f>
        <v>5</v>
      </c>
      <c r="H817" s="26">
        <f>IFERROR(__xludf.DUMMYFUNCTION("""COMPUTED_VALUE"""),-13.637)</f>
        <v>-13.637</v>
      </c>
    </row>
    <row r="818">
      <c r="A818" s="26" t="str">
        <f>IFERROR(__xludf.DUMMYFUNCTION("""COMPUTED_VALUE"""),"CA-2014-166891")</f>
        <v>CA-2014-166891</v>
      </c>
      <c r="B818" s="27">
        <f>IFERROR(__xludf.DUMMYFUNCTION("""COMPUTED_VALUE"""),41916.0)</f>
        <v>41916</v>
      </c>
      <c r="C818" s="26" t="str">
        <f>IFERROR(__xludf.DUMMYFUNCTION("""COMPUTED_VALUE"""),"Consumer")</f>
        <v>Consumer</v>
      </c>
      <c r="D818" s="26" t="str">
        <f>IFERROR(__xludf.DUMMYFUNCTION("""COMPUTED_VALUE"""),"New York")</f>
        <v>New York</v>
      </c>
      <c r="E818" s="26" t="str">
        <f>IFERROR(__xludf.DUMMYFUNCTION("""COMPUTED_VALUE"""),"East")</f>
        <v>East</v>
      </c>
      <c r="F818" s="26">
        <f>IFERROR(__xludf.DUMMYFUNCTION("""COMPUTED_VALUE"""),589.41)</f>
        <v>589.41</v>
      </c>
      <c r="G818" s="26">
        <f>IFERROR(__xludf.DUMMYFUNCTION("""COMPUTED_VALUE"""),5.0)</f>
        <v>5</v>
      </c>
      <c r="H818" s="26">
        <f>IFERROR(__xludf.DUMMYFUNCTION("""COMPUTED_VALUE"""),-6.549)</f>
        <v>-6.549</v>
      </c>
    </row>
    <row r="819">
      <c r="A819" s="26" t="str">
        <f>IFERROR(__xludf.DUMMYFUNCTION("""COMPUTED_VALUE"""),"CA-2014-110065")</f>
        <v>CA-2014-110065</v>
      </c>
      <c r="B819" s="27">
        <f>IFERROR(__xludf.DUMMYFUNCTION("""COMPUTED_VALUE"""),41856.0)</f>
        <v>41856</v>
      </c>
      <c r="C819" s="26" t="str">
        <f>IFERROR(__xludf.DUMMYFUNCTION("""COMPUTED_VALUE"""),"Corporate")</f>
        <v>Corporate</v>
      </c>
      <c r="D819" s="26" t="str">
        <f>IFERROR(__xludf.DUMMYFUNCTION("""COMPUTED_VALUE"""),"New York")</f>
        <v>New York</v>
      </c>
      <c r="E819" s="26" t="str">
        <f>IFERROR(__xludf.DUMMYFUNCTION("""COMPUTED_VALUE"""),"East")</f>
        <v>East</v>
      </c>
      <c r="F819" s="26">
        <f>IFERROR(__xludf.DUMMYFUNCTION("""COMPUTED_VALUE"""),135.99)</f>
        <v>135.99</v>
      </c>
      <c r="G819" s="26">
        <f>IFERROR(__xludf.DUMMYFUNCTION("""COMPUTED_VALUE"""),1.0)</f>
        <v>1</v>
      </c>
      <c r="H819" s="26">
        <f>IFERROR(__xludf.DUMMYFUNCTION("""COMPUTED_VALUE"""),36.7173)</f>
        <v>36.7173</v>
      </c>
    </row>
    <row r="820">
      <c r="A820" s="26" t="str">
        <f>IFERROR(__xludf.DUMMYFUNCTION("""COMPUTED_VALUE"""),"CA-2014-149524")</f>
        <v>CA-2014-149524</v>
      </c>
      <c r="B820" s="27">
        <f>IFERROR(__xludf.DUMMYFUNCTION("""COMPUTED_VALUE"""),41653.0)</f>
        <v>41653</v>
      </c>
      <c r="C820" s="26" t="str">
        <f>IFERROR(__xludf.DUMMYFUNCTION("""COMPUTED_VALUE"""),"Corporate")</f>
        <v>Corporate</v>
      </c>
      <c r="D820" s="26" t="str">
        <f>IFERROR(__xludf.DUMMYFUNCTION("""COMPUTED_VALUE"""),"Pennsylvania")</f>
        <v>Pennsylvania</v>
      </c>
      <c r="E820" s="26" t="str">
        <f>IFERROR(__xludf.DUMMYFUNCTION("""COMPUTED_VALUE"""),"East")</f>
        <v>East</v>
      </c>
      <c r="F820" s="26">
        <f>IFERROR(__xludf.DUMMYFUNCTION("""COMPUTED_VALUE"""),61.96)</f>
        <v>61.96</v>
      </c>
      <c r="G820" s="26">
        <f>IFERROR(__xludf.DUMMYFUNCTION("""COMPUTED_VALUE"""),4.0)</f>
        <v>4</v>
      </c>
      <c r="H820" s="26">
        <f>IFERROR(__xludf.DUMMYFUNCTION("""COMPUTED_VALUE"""),-53.2856)</f>
        <v>-53.2856</v>
      </c>
    </row>
    <row r="821">
      <c r="A821" s="26" t="str">
        <f>IFERROR(__xludf.DUMMYFUNCTION("""COMPUTED_VALUE"""),"CA-2014-149594")</f>
        <v>CA-2014-149594</v>
      </c>
      <c r="B821" s="27">
        <f>IFERROR(__xludf.DUMMYFUNCTION("""COMPUTED_VALUE"""),41897.0)</f>
        <v>41897</v>
      </c>
      <c r="C821" s="26" t="str">
        <f>IFERROR(__xludf.DUMMYFUNCTION("""COMPUTED_VALUE"""),"Corporate")</f>
        <v>Corporate</v>
      </c>
      <c r="D821" s="26" t="str">
        <f>IFERROR(__xludf.DUMMYFUNCTION("""COMPUTED_VALUE"""),"Pennsylvania")</f>
        <v>Pennsylvania</v>
      </c>
      <c r="E821" s="26" t="str">
        <f>IFERROR(__xludf.DUMMYFUNCTION("""COMPUTED_VALUE"""),"East")</f>
        <v>East</v>
      </c>
      <c r="F821" s="26">
        <f>IFERROR(__xludf.DUMMYFUNCTION("""COMPUTED_VALUE"""),103.936)</f>
        <v>103.936</v>
      </c>
      <c r="G821" s="26">
        <f>IFERROR(__xludf.DUMMYFUNCTION("""COMPUTED_VALUE"""),4.0)</f>
        <v>4</v>
      </c>
      <c r="H821" s="26">
        <f>IFERROR(__xludf.DUMMYFUNCTION("""COMPUTED_VALUE"""),16.8896)</f>
        <v>16.8896</v>
      </c>
    </row>
    <row r="822">
      <c r="A822" s="26" t="str">
        <f>IFERROR(__xludf.DUMMYFUNCTION("""COMPUTED_VALUE"""),"CA-2014-129147")</f>
        <v>CA-2014-129147</v>
      </c>
      <c r="B822" s="27">
        <f>IFERROR(__xludf.DUMMYFUNCTION("""COMPUTED_VALUE"""),41945.0)</f>
        <v>41945</v>
      </c>
      <c r="C822" s="26" t="str">
        <f>IFERROR(__xludf.DUMMYFUNCTION("""COMPUTED_VALUE"""),"Consumer")</f>
        <v>Consumer</v>
      </c>
      <c r="D822" s="26" t="str">
        <f>IFERROR(__xludf.DUMMYFUNCTION("""COMPUTED_VALUE"""),"Ohio")</f>
        <v>Ohio</v>
      </c>
      <c r="E822" s="26" t="str">
        <f>IFERROR(__xludf.DUMMYFUNCTION("""COMPUTED_VALUE"""),"East")</f>
        <v>East</v>
      </c>
      <c r="F822" s="26">
        <f>IFERROR(__xludf.DUMMYFUNCTION("""COMPUTED_VALUE"""),539.964)</f>
        <v>539.964</v>
      </c>
      <c r="G822" s="26">
        <f>IFERROR(__xludf.DUMMYFUNCTION("""COMPUTED_VALUE"""),6.0)</f>
        <v>6</v>
      </c>
      <c r="H822" s="26">
        <f>IFERROR(__xludf.DUMMYFUNCTION("""COMPUTED_VALUE"""),-107.9928)</f>
        <v>-107.9928</v>
      </c>
    </row>
    <row r="823">
      <c r="A823" s="26" t="str">
        <f>IFERROR(__xludf.DUMMYFUNCTION("""COMPUTED_VALUE"""),"CA-2014-146864")</f>
        <v>CA-2014-146864</v>
      </c>
      <c r="B823" s="29">
        <f>IFERROR(__xludf.DUMMYFUNCTION("""COMPUTED_VALUE"""),41995.0)</f>
        <v>41995</v>
      </c>
      <c r="C823" s="26" t="str">
        <f>IFERROR(__xludf.DUMMYFUNCTION("""COMPUTED_VALUE"""),"Home Office")</f>
        <v>Home Office</v>
      </c>
      <c r="D823" s="26" t="str">
        <f>IFERROR(__xludf.DUMMYFUNCTION("""COMPUTED_VALUE"""),"New York")</f>
        <v>New York</v>
      </c>
      <c r="E823" s="26" t="str">
        <f>IFERROR(__xludf.DUMMYFUNCTION("""COMPUTED_VALUE"""),"East")</f>
        <v>East</v>
      </c>
      <c r="F823" s="26">
        <f>IFERROR(__xludf.DUMMYFUNCTION("""COMPUTED_VALUE"""),216.4)</f>
        <v>216.4</v>
      </c>
      <c r="G823" s="26">
        <f>IFERROR(__xludf.DUMMYFUNCTION("""COMPUTED_VALUE"""),4.0)</f>
        <v>4</v>
      </c>
      <c r="H823" s="26">
        <f>IFERROR(__xludf.DUMMYFUNCTION("""COMPUTED_VALUE"""),56.264)</f>
        <v>56.264</v>
      </c>
    </row>
    <row r="824">
      <c r="A824" s="26" t="str">
        <f>IFERROR(__xludf.DUMMYFUNCTION("""COMPUTED_VALUE"""),"CA-2014-128209")</f>
        <v>CA-2014-128209</v>
      </c>
      <c r="B824" s="29">
        <f>IFERROR(__xludf.DUMMYFUNCTION("""COMPUTED_VALUE"""),41960.0)</f>
        <v>41960</v>
      </c>
      <c r="C824" s="26" t="str">
        <f>IFERROR(__xludf.DUMMYFUNCTION("""COMPUTED_VALUE"""),"Consumer")</f>
        <v>Consumer</v>
      </c>
      <c r="D824" s="26" t="str">
        <f>IFERROR(__xludf.DUMMYFUNCTION("""COMPUTED_VALUE"""),"New York")</f>
        <v>New York</v>
      </c>
      <c r="E824" s="26" t="str">
        <f>IFERROR(__xludf.DUMMYFUNCTION("""COMPUTED_VALUE"""),"East")</f>
        <v>East</v>
      </c>
      <c r="F824" s="26">
        <f>IFERROR(__xludf.DUMMYFUNCTION("""COMPUTED_VALUE"""),2152.776)</f>
        <v>2152.776</v>
      </c>
      <c r="G824" s="26">
        <f>IFERROR(__xludf.DUMMYFUNCTION("""COMPUTED_VALUE"""),3.0)</f>
        <v>3</v>
      </c>
      <c r="H824" s="26">
        <f>IFERROR(__xludf.DUMMYFUNCTION("""COMPUTED_VALUE"""),726.5619)</f>
        <v>726.5619</v>
      </c>
    </row>
    <row r="825">
      <c r="A825" s="26" t="str">
        <f>IFERROR(__xludf.DUMMYFUNCTION("""COMPUTED_VALUE"""),"CA-2014-166086")</f>
        <v>CA-2014-166086</v>
      </c>
      <c r="B825" s="27">
        <f>IFERROR(__xludf.DUMMYFUNCTION("""COMPUTED_VALUE"""),41766.0)</f>
        <v>41766</v>
      </c>
      <c r="C825" s="26" t="str">
        <f>IFERROR(__xludf.DUMMYFUNCTION("""COMPUTED_VALUE"""),"Consumer")</f>
        <v>Consumer</v>
      </c>
      <c r="D825" s="26" t="str">
        <f>IFERROR(__xludf.DUMMYFUNCTION("""COMPUTED_VALUE"""),"Massachusetts")</f>
        <v>Massachusetts</v>
      </c>
      <c r="E825" s="26" t="str">
        <f>IFERROR(__xludf.DUMMYFUNCTION("""COMPUTED_VALUE"""),"East")</f>
        <v>East</v>
      </c>
      <c r="F825" s="26">
        <f>IFERROR(__xludf.DUMMYFUNCTION("""COMPUTED_VALUE"""),16.14)</f>
        <v>16.14</v>
      </c>
      <c r="G825" s="26">
        <f>IFERROR(__xludf.DUMMYFUNCTION("""COMPUTED_VALUE"""),3.0)</f>
        <v>3</v>
      </c>
      <c r="H825" s="26">
        <f>IFERROR(__xludf.DUMMYFUNCTION("""COMPUTED_VALUE"""),7.9086)</f>
        <v>7.9086</v>
      </c>
    </row>
    <row r="826">
      <c r="A826" s="26" t="str">
        <f>IFERROR(__xludf.DUMMYFUNCTION("""COMPUTED_VALUE"""),"CA-2014-154095")</f>
        <v>CA-2014-154095</v>
      </c>
      <c r="B826" s="27">
        <f>IFERROR(__xludf.DUMMYFUNCTION("""COMPUTED_VALUE"""),41975.0)</f>
        <v>41975</v>
      </c>
      <c r="C826" s="26" t="str">
        <f>IFERROR(__xludf.DUMMYFUNCTION("""COMPUTED_VALUE"""),"Corporate")</f>
        <v>Corporate</v>
      </c>
      <c r="D826" s="26" t="str">
        <f>IFERROR(__xludf.DUMMYFUNCTION("""COMPUTED_VALUE"""),"Maryland")</f>
        <v>Maryland</v>
      </c>
      <c r="E826" s="26" t="str">
        <f>IFERROR(__xludf.DUMMYFUNCTION("""COMPUTED_VALUE"""),"East")</f>
        <v>East</v>
      </c>
      <c r="F826" s="26">
        <f>IFERROR(__xludf.DUMMYFUNCTION("""COMPUTED_VALUE"""),60.72)</f>
        <v>60.72</v>
      </c>
      <c r="G826" s="26">
        <f>IFERROR(__xludf.DUMMYFUNCTION("""COMPUTED_VALUE"""),3.0)</f>
        <v>3</v>
      </c>
      <c r="H826" s="26">
        <f>IFERROR(__xludf.DUMMYFUNCTION("""COMPUTED_VALUE"""),23.6808)</f>
        <v>23.6808</v>
      </c>
    </row>
    <row r="827">
      <c r="A827" s="26" t="str">
        <f>IFERROR(__xludf.DUMMYFUNCTION("""COMPUTED_VALUE"""),"CA-2014-145541")</f>
        <v>CA-2014-145541</v>
      </c>
      <c r="B827" s="29">
        <f>IFERROR(__xludf.DUMMYFUNCTION("""COMPUTED_VALUE"""),41987.0)</f>
        <v>41987</v>
      </c>
      <c r="C827" s="26" t="str">
        <f>IFERROR(__xludf.DUMMYFUNCTION("""COMPUTED_VALUE"""),"Consumer")</f>
        <v>Consumer</v>
      </c>
      <c r="D827" s="26" t="str">
        <f>IFERROR(__xludf.DUMMYFUNCTION("""COMPUTED_VALUE"""),"New York")</f>
        <v>New York</v>
      </c>
      <c r="E827" s="26" t="str">
        <f>IFERROR(__xludf.DUMMYFUNCTION("""COMPUTED_VALUE"""),"East")</f>
        <v>East</v>
      </c>
      <c r="F827" s="26">
        <f>IFERROR(__xludf.DUMMYFUNCTION("""COMPUTED_VALUE"""),6999.96)</f>
        <v>6999.96</v>
      </c>
      <c r="G827" s="26">
        <f>IFERROR(__xludf.DUMMYFUNCTION("""COMPUTED_VALUE"""),4.0)</f>
        <v>4</v>
      </c>
      <c r="H827" s="26">
        <f>IFERROR(__xludf.DUMMYFUNCTION("""COMPUTED_VALUE"""),2239.9872)</f>
        <v>2239.9872</v>
      </c>
    </row>
    <row r="828">
      <c r="A828" s="26" t="str">
        <f>IFERROR(__xludf.DUMMYFUNCTION("""COMPUTED_VALUE"""),"CA-2014-108609")</f>
        <v>CA-2014-108609</v>
      </c>
      <c r="B828" s="29">
        <f>IFERROR(__xludf.DUMMYFUNCTION("""COMPUTED_VALUE"""),41943.0)</f>
        <v>41943</v>
      </c>
      <c r="C828" s="26" t="str">
        <f>IFERROR(__xludf.DUMMYFUNCTION("""COMPUTED_VALUE"""),"Corporate")</f>
        <v>Corporate</v>
      </c>
      <c r="D828" s="26" t="str">
        <f>IFERROR(__xludf.DUMMYFUNCTION("""COMPUTED_VALUE"""),"Ohio")</f>
        <v>Ohio</v>
      </c>
      <c r="E828" s="26" t="str">
        <f>IFERROR(__xludf.DUMMYFUNCTION("""COMPUTED_VALUE"""),"East")</f>
        <v>East</v>
      </c>
      <c r="F828" s="26">
        <f>IFERROR(__xludf.DUMMYFUNCTION("""COMPUTED_VALUE"""),1421.664)</f>
        <v>1421.664</v>
      </c>
      <c r="G828" s="26">
        <f>IFERROR(__xludf.DUMMYFUNCTION("""COMPUTED_VALUE"""),8.0)</f>
        <v>8</v>
      </c>
      <c r="H828" s="26">
        <f>IFERROR(__xludf.DUMMYFUNCTION("""COMPUTED_VALUE"""),-734.5264)</f>
        <v>-734.5264</v>
      </c>
    </row>
    <row r="829">
      <c r="A829" s="26" t="str">
        <f>IFERROR(__xludf.DUMMYFUNCTION("""COMPUTED_VALUE"""),"CA-2014-167724")</f>
        <v>CA-2014-167724</v>
      </c>
      <c r="B829" s="27">
        <f>IFERROR(__xludf.DUMMYFUNCTION("""COMPUTED_VALUE"""),41742.0)</f>
        <v>41742</v>
      </c>
      <c r="C829" s="26" t="str">
        <f>IFERROR(__xludf.DUMMYFUNCTION("""COMPUTED_VALUE"""),"Home Office")</f>
        <v>Home Office</v>
      </c>
      <c r="D829" s="26" t="str">
        <f>IFERROR(__xludf.DUMMYFUNCTION("""COMPUTED_VALUE"""),"Maryland")</f>
        <v>Maryland</v>
      </c>
      <c r="E829" s="26" t="str">
        <f>IFERROR(__xludf.DUMMYFUNCTION("""COMPUTED_VALUE"""),"East")</f>
        <v>East</v>
      </c>
      <c r="F829" s="26">
        <f>IFERROR(__xludf.DUMMYFUNCTION("""COMPUTED_VALUE"""),7.83)</f>
        <v>7.83</v>
      </c>
      <c r="G829" s="26">
        <f>IFERROR(__xludf.DUMMYFUNCTION("""COMPUTED_VALUE"""),3.0)</f>
        <v>3</v>
      </c>
      <c r="H829" s="26">
        <f>IFERROR(__xludf.DUMMYFUNCTION("""COMPUTED_VALUE"""),3.6018)</f>
        <v>3.6018</v>
      </c>
    </row>
    <row r="830">
      <c r="A830" s="26" t="str">
        <f>IFERROR(__xludf.DUMMYFUNCTION("""COMPUTED_VALUE"""),"CA-2014-109302")</f>
        <v>CA-2014-109302</v>
      </c>
      <c r="B830" s="27">
        <f>IFERROR(__xludf.DUMMYFUNCTION("""COMPUTED_VALUE"""),41863.0)</f>
        <v>41863</v>
      </c>
      <c r="C830" s="26" t="str">
        <f>IFERROR(__xludf.DUMMYFUNCTION("""COMPUTED_VALUE"""),"Corporate")</f>
        <v>Corporate</v>
      </c>
      <c r="D830" s="26" t="str">
        <f>IFERROR(__xludf.DUMMYFUNCTION("""COMPUTED_VALUE"""),"New Jersey")</f>
        <v>New Jersey</v>
      </c>
      <c r="E830" s="26" t="str">
        <f>IFERROR(__xludf.DUMMYFUNCTION("""COMPUTED_VALUE"""),"East")</f>
        <v>East</v>
      </c>
      <c r="F830" s="26">
        <f>IFERROR(__xludf.DUMMYFUNCTION("""COMPUTED_VALUE"""),196.21)</f>
        <v>196.21</v>
      </c>
      <c r="G830" s="26">
        <f>IFERROR(__xludf.DUMMYFUNCTION("""COMPUTED_VALUE"""),7.0)</f>
        <v>7</v>
      </c>
      <c r="H830" s="26">
        <f>IFERROR(__xludf.DUMMYFUNCTION("""COMPUTED_VALUE"""),98.105)</f>
        <v>98.105</v>
      </c>
    </row>
    <row r="831">
      <c r="A831" s="26" t="str">
        <f>IFERROR(__xludf.DUMMYFUNCTION("""COMPUTED_VALUE"""),"CA-2014-141005")</f>
        <v>CA-2014-141005</v>
      </c>
      <c r="B831" s="27">
        <f>IFERROR(__xludf.DUMMYFUNCTION("""COMPUTED_VALUE"""),41866.0)</f>
        <v>41866</v>
      </c>
      <c r="C831" s="26" t="str">
        <f>IFERROR(__xludf.DUMMYFUNCTION("""COMPUTED_VALUE"""),"Consumer")</f>
        <v>Consumer</v>
      </c>
      <c r="D831" s="26" t="str">
        <f>IFERROR(__xludf.DUMMYFUNCTION("""COMPUTED_VALUE"""),"Connecticut")</f>
        <v>Connecticut</v>
      </c>
      <c r="E831" s="26" t="str">
        <f>IFERROR(__xludf.DUMMYFUNCTION("""COMPUTED_VALUE"""),"East")</f>
        <v>East</v>
      </c>
      <c r="F831" s="26">
        <f>IFERROR(__xludf.DUMMYFUNCTION("""COMPUTED_VALUE"""),62.94)</f>
        <v>62.94</v>
      </c>
      <c r="G831" s="26">
        <f>IFERROR(__xludf.DUMMYFUNCTION("""COMPUTED_VALUE"""),3.0)</f>
        <v>3</v>
      </c>
      <c r="H831" s="26">
        <f>IFERROR(__xludf.DUMMYFUNCTION("""COMPUTED_VALUE"""),30.2112)</f>
        <v>30.2112</v>
      </c>
    </row>
    <row r="832">
      <c r="A832" s="26" t="str">
        <f>IFERROR(__xludf.DUMMYFUNCTION("""COMPUTED_VALUE"""),"CA-2014-126277")</f>
        <v>CA-2014-126277</v>
      </c>
      <c r="B832" s="27">
        <f>IFERROR(__xludf.DUMMYFUNCTION("""COMPUTED_VALUE"""),41895.0)</f>
        <v>41895</v>
      </c>
      <c r="C832" s="26" t="str">
        <f>IFERROR(__xludf.DUMMYFUNCTION("""COMPUTED_VALUE"""),"Consumer")</f>
        <v>Consumer</v>
      </c>
      <c r="D832" s="26" t="str">
        <f>IFERROR(__xludf.DUMMYFUNCTION("""COMPUTED_VALUE"""),"Ohio")</f>
        <v>Ohio</v>
      </c>
      <c r="E832" s="26" t="str">
        <f>IFERROR(__xludf.DUMMYFUNCTION("""COMPUTED_VALUE"""),"East")</f>
        <v>East</v>
      </c>
      <c r="F832" s="26">
        <f>IFERROR(__xludf.DUMMYFUNCTION("""COMPUTED_VALUE"""),2.502)</f>
        <v>2.502</v>
      </c>
      <c r="G832" s="26">
        <f>IFERROR(__xludf.DUMMYFUNCTION("""COMPUTED_VALUE"""),3.0)</f>
        <v>3</v>
      </c>
      <c r="H832" s="26">
        <f>IFERROR(__xludf.DUMMYFUNCTION("""COMPUTED_VALUE"""),-2.0016)</f>
        <v>-2.0016</v>
      </c>
    </row>
    <row r="833">
      <c r="A833" s="26" t="str">
        <f>IFERROR(__xludf.DUMMYFUNCTION("""COMPUTED_VALUE"""),"CA-2014-164182")</f>
        <v>CA-2014-164182</v>
      </c>
      <c r="B833" s="27">
        <f>IFERROR(__xludf.DUMMYFUNCTION("""COMPUTED_VALUE"""),41834.0)</f>
        <v>41834</v>
      </c>
      <c r="C833" s="26" t="str">
        <f>IFERROR(__xludf.DUMMYFUNCTION("""COMPUTED_VALUE"""),"Consumer")</f>
        <v>Consumer</v>
      </c>
      <c r="D833" s="26" t="str">
        <f>IFERROR(__xludf.DUMMYFUNCTION("""COMPUTED_VALUE"""),"Pennsylvania")</f>
        <v>Pennsylvania</v>
      </c>
      <c r="E833" s="26" t="str">
        <f>IFERROR(__xludf.DUMMYFUNCTION("""COMPUTED_VALUE"""),"East")</f>
        <v>East</v>
      </c>
      <c r="F833" s="26">
        <f>IFERROR(__xludf.DUMMYFUNCTION("""COMPUTED_VALUE"""),13.494)</f>
        <v>13.494</v>
      </c>
      <c r="G833" s="26">
        <f>IFERROR(__xludf.DUMMYFUNCTION("""COMPUTED_VALUE"""),1.0)</f>
        <v>1</v>
      </c>
      <c r="H833" s="26">
        <f>IFERROR(__xludf.DUMMYFUNCTION("""COMPUTED_VALUE"""),-2.249)</f>
        <v>-2.249</v>
      </c>
    </row>
    <row r="834">
      <c r="A834" s="26" t="str">
        <f>IFERROR(__xludf.DUMMYFUNCTION("""COMPUTED_VALUE"""),"CA-2014-148369")</f>
        <v>CA-2014-148369</v>
      </c>
      <c r="B834" s="27">
        <f>IFERROR(__xludf.DUMMYFUNCTION("""COMPUTED_VALUE"""),41905.0)</f>
        <v>41905</v>
      </c>
      <c r="C834" s="26" t="str">
        <f>IFERROR(__xludf.DUMMYFUNCTION("""COMPUTED_VALUE"""),"Corporate")</f>
        <v>Corporate</v>
      </c>
      <c r="D834" s="26" t="str">
        <f>IFERROR(__xludf.DUMMYFUNCTION("""COMPUTED_VALUE"""),"Delaware")</f>
        <v>Delaware</v>
      </c>
      <c r="E834" s="26" t="str">
        <f>IFERROR(__xludf.DUMMYFUNCTION("""COMPUTED_VALUE"""),"East")</f>
        <v>East</v>
      </c>
      <c r="F834" s="26">
        <f>IFERROR(__xludf.DUMMYFUNCTION("""COMPUTED_VALUE"""),11.12)</f>
        <v>11.12</v>
      </c>
      <c r="G834" s="26">
        <f>IFERROR(__xludf.DUMMYFUNCTION("""COMPUTED_VALUE"""),4.0)</f>
        <v>4</v>
      </c>
      <c r="H834" s="26">
        <f>IFERROR(__xludf.DUMMYFUNCTION("""COMPUTED_VALUE"""),5.4488)</f>
        <v>5.4488</v>
      </c>
    </row>
    <row r="835">
      <c r="A835" s="26" t="str">
        <f>IFERROR(__xludf.DUMMYFUNCTION("""COMPUTED_VALUE"""),"CA-2014-146990")</f>
        <v>CA-2014-146990</v>
      </c>
      <c r="B835" s="27">
        <f>IFERROR(__xludf.DUMMYFUNCTION("""COMPUTED_VALUE"""),41950.0)</f>
        <v>41950</v>
      </c>
      <c r="C835" s="26" t="str">
        <f>IFERROR(__xludf.DUMMYFUNCTION("""COMPUTED_VALUE"""),"Corporate")</f>
        <v>Corporate</v>
      </c>
      <c r="D835" s="26" t="str">
        <f>IFERROR(__xludf.DUMMYFUNCTION("""COMPUTED_VALUE"""),"New York")</f>
        <v>New York</v>
      </c>
      <c r="E835" s="26" t="str">
        <f>IFERROR(__xludf.DUMMYFUNCTION("""COMPUTED_VALUE"""),"East")</f>
        <v>East</v>
      </c>
      <c r="F835" s="26">
        <f>IFERROR(__xludf.DUMMYFUNCTION("""COMPUTED_VALUE"""),5.92)</f>
        <v>5.92</v>
      </c>
      <c r="G835" s="26">
        <f>IFERROR(__xludf.DUMMYFUNCTION("""COMPUTED_VALUE"""),4.0)</f>
        <v>4</v>
      </c>
      <c r="H835" s="26">
        <f>IFERROR(__xludf.DUMMYFUNCTION("""COMPUTED_VALUE"""),2.8416)</f>
        <v>2.8416</v>
      </c>
    </row>
    <row r="836">
      <c r="A836" s="26" t="str">
        <f>IFERROR(__xludf.DUMMYFUNCTION("""COMPUTED_VALUE"""),"US-2014-135881")</f>
        <v>US-2014-135881</v>
      </c>
      <c r="B836" s="27">
        <f>IFERROR(__xludf.DUMMYFUNCTION("""COMPUTED_VALUE"""),41782.0)</f>
        <v>41782</v>
      </c>
      <c r="C836" s="26" t="str">
        <f>IFERROR(__xludf.DUMMYFUNCTION("""COMPUTED_VALUE"""),"Consumer")</f>
        <v>Consumer</v>
      </c>
      <c r="D836" s="26" t="str">
        <f>IFERROR(__xludf.DUMMYFUNCTION("""COMPUTED_VALUE"""),"New York")</f>
        <v>New York</v>
      </c>
      <c r="E836" s="26" t="str">
        <f>IFERROR(__xludf.DUMMYFUNCTION("""COMPUTED_VALUE"""),"East")</f>
        <v>East</v>
      </c>
      <c r="F836" s="26">
        <f>IFERROR(__xludf.DUMMYFUNCTION("""COMPUTED_VALUE"""),17.96)</f>
        <v>17.96</v>
      </c>
      <c r="G836" s="26">
        <f>IFERROR(__xludf.DUMMYFUNCTION("""COMPUTED_VALUE"""),5.0)</f>
        <v>5</v>
      </c>
      <c r="H836" s="26">
        <f>IFERROR(__xludf.DUMMYFUNCTION("""COMPUTED_VALUE"""),5.837)</f>
        <v>5.837</v>
      </c>
    </row>
    <row r="837">
      <c r="A837" s="26" t="str">
        <f>IFERROR(__xludf.DUMMYFUNCTION("""COMPUTED_VALUE"""),"CA-2014-117478")</f>
        <v>CA-2014-117478</v>
      </c>
      <c r="B837" s="27">
        <f>IFERROR(__xludf.DUMMYFUNCTION("""COMPUTED_VALUE"""),41903.0)</f>
        <v>41903</v>
      </c>
      <c r="C837" s="26" t="str">
        <f>IFERROR(__xludf.DUMMYFUNCTION("""COMPUTED_VALUE"""),"Consumer")</f>
        <v>Consumer</v>
      </c>
      <c r="D837" s="26" t="str">
        <f>IFERROR(__xludf.DUMMYFUNCTION("""COMPUTED_VALUE"""),"Pennsylvania")</f>
        <v>Pennsylvania</v>
      </c>
      <c r="E837" s="26" t="str">
        <f>IFERROR(__xludf.DUMMYFUNCTION("""COMPUTED_VALUE"""),"East")</f>
        <v>East</v>
      </c>
      <c r="F837" s="26">
        <f>IFERROR(__xludf.DUMMYFUNCTION("""COMPUTED_VALUE"""),6.57)</f>
        <v>6.57</v>
      </c>
      <c r="G837" s="26">
        <f>IFERROR(__xludf.DUMMYFUNCTION("""COMPUTED_VALUE"""),3.0)</f>
        <v>3</v>
      </c>
      <c r="H837" s="26">
        <f>IFERROR(__xludf.DUMMYFUNCTION("""COMPUTED_VALUE"""),-5.037)</f>
        <v>-5.037</v>
      </c>
    </row>
    <row r="838">
      <c r="A838" s="26" t="str">
        <f>IFERROR(__xludf.DUMMYFUNCTION("""COMPUTED_VALUE"""),"CA-2014-122070")</f>
        <v>CA-2014-122070</v>
      </c>
      <c r="B838" s="27">
        <f>IFERROR(__xludf.DUMMYFUNCTION("""COMPUTED_VALUE"""),41751.0)</f>
        <v>41751</v>
      </c>
      <c r="C838" s="26" t="str">
        <f>IFERROR(__xludf.DUMMYFUNCTION("""COMPUTED_VALUE"""),"Corporate")</f>
        <v>Corporate</v>
      </c>
      <c r="D838" s="26" t="str">
        <f>IFERROR(__xludf.DUMMYFUNCTION("""COMPUTED_VALUE"""),"New York")</f>
        <v>New York</v>
      </c>
      <c r="E838" s="26" t="str">
        <f>IFERROR(__xludf.DUMMYFUNCTION("""COMPUTED_VALUE"""),"East")</f>
        <v>East</v>
      </c>
      <c r="F838" s="26">
        <f>IFERROR(__xludf.DUMMYFUNCTION("""COMPUTED_VALUE"""),247.84)</f>
        <v>247.84</v>
      </c>
      <c r="G838" s="26">
        <f>IFERROR(__xludf.DUMMYFUNCTION("""COMPUTED_VALUE"""),8.0)</f>
        <v>8</v>
      </c>
      <c r="H838" s="26">
        <f>IFERROR(__xludf.DUMMYFUNCTION("""COMPUTED_VALUE"""),121.4416)</f>
        <v>121.4416</v>
      </c>
    </row>
    <row r="839">
      <c r="A839" s="26" t="str">
        <f>IFERROR(__xludf.DUMMYFUNCTION("""COMPUTED_VALUE"""),"US-2014-127978")</f>
        <v>US-2014-127978</v>
      </c>
      <c r="B839" s="27">
        <f>IFERROR(__xludf.DUMMYFUNCTION("""COMPUTED_VALUE"""),41701.0)</f>
        <v>41701</v>
      </c>
      <c r="C839" s="26" t="str">
        <f>IFERROR(__xludf.DUMMYFUNCTION("""COMPUTED_VALUE"""),"Corporate")</f>
        <v>Corporate</v>
      </c>
      <c r="D839" s="26" t="str">
        <f>IFERROR(__xludf.DUMMYFUNCTION("""COMPUTED_VALUE"""),"Ohio")</f>
        <v>Ohio</v>
      </c>
      <c r="E839" s="26" t="str">
        <f>IFERROR(__xludf.DUMMYFUNCTION("""COMPUTED_VALUE"""),"East")</f>
        <v>East</v>
      </c>
      <c r="F839" s="26">
        <f>IFERROR(__xludf.DUMMYFUNCTION("""COMPUTED_VALUE"""),15.12)</f>
        <v>15.12</v>
      </c>
      <c r="G839" s="26">
        <f>IFERROR(__xludf.DUMMYFUNCTION("""COMPUTED_VALUE"""),3.0)</f>
        <v>3</v>
      </c>
      <c r="H839" s="26">
        <f>IFERROR(__xludf.DUMMYFUNCTION("""COMPUTED_VALUE"""),4.914)</f>
        <v>4.914</v>
      </c>
    </row>
    <row r="840">
      <c r="A840" s="26" t="str">
        <f>IFERROR(__xludf.DUMMYFUNCTION("""COMPUTED_VALUE"""),"CA-2014-163412")</f>
        <v>CA-2014-163412</v>
      </c>
      <c r="B840" s="29">
        <f>IFERROR(__xludf.DUMMYFUNCTION("""COMPUTED_VALUE"""),41993.0)</f>
        <v>41993</v>
      </c>
      <c r="C840" s="26" t="str">
        <f>IFERROR(__xludf.DUMMYFUNCTION("""COMPUTED_VALUE"""),"Corporate")</f>
        <v>Corporate</v>
      </c>
      <c r="D840" s="26" t="str">
        <f>IFERROR(__xludf.DUMMYFUNCTION("""COMPUTED_VALUE"""),"New York")</f>
        <v>New York</v>
      </c>
      <c r="E840" s="26" t="str">
        <f>IFERROR(__xludf.DUMMYFUNCTION("""COMPUTED_VALUE"""),"East")</f>
        <v>East</v>
      </c>
      <c r="F840" s="26">
        <f>IFERROR(__xludf.DUMMYFUNCTION("""COMPUTED_VALUE"""),192.186)</f>
        <v>192.186</v>
      </c>
      <c r="G840" s="26">
        <f>IFERROR(__xludf.DUMMYFUNCTION("""COMPUTED_VALUE"""),3.0)</f>
        <v>3</v>
      </c>
      <c r="H840" s="26">
        <f>IFERROR(__xludf.DUMMYFUNCTION("""COMPUTED_VALUE"""),36.3018)</f>
        <v>36.3018</v>
      </c>
    </row>
    <row r="841">
      <c r="A841" s="26" t="str">
        <f>IFERROR(__xludf.DUMMYFUNCTION("""COMPUTED_VALUE"""),"CA-2014-168473")</f>
        <v>CA-2014-168473</v>
      </c>
      <c r="B841" s="29">
        <f>IFERROR(__xludf.DUMMYFUNCTION("""COMPUTED_VALUE"""),41999.0)</f>
        <v>41999</v>
      </c>
      <c r="C841" s="26" t="str">
        <f>IFERROR(__xludf.DUMMYFUNCTION("""COMPUTED_VALUE"""),"Consumer")</f>
        <v>Consumer</v>
      </c>
      <c r="D841" s="26" t="str">
        <f>IFERROR(__xludf.DUMMYFUNCTION("""COMPUTED_VALUE"""),"New York")</f>
        <v>New York</v>
      </c>
      <c r="E841" s="26" t="str">
        <f>IFERROR(__xludf.DUMMYFUNCTION("""COMPUTED_VALUE"""),"East")</f>
        <v>East</v>
      </c>
      <c r="F841" s="26">
        <f>IFERROR(__xludf.DUMMYFUNCTION("""COMPUTED_VALUE"""),191.88)</f>
        <v>191.88</v>
      </c>
      <c r="G841" s="26">
        <f>IFERROR(__xludf.DUMMYFUNCTION("""COMPUTED_VALUE"""),6.0)</f>
        <v>6</v>
      </c>
      <c r="H841" s="26">
        <f>IFERROR(__xludf.DUMMYFUNCTION("""COMPUTED_VALUE"""),19.188)</f>
        <v>19.188</v>
      </c>
    </row>
    <row r="842">
      <c r="A842" s="26" t="str">
        <f>IFERROR(__xludf.DUMMYFUNCTION("""COMPUTED_VALUE"""),"US-2014-115189")</f>
        <v>US-2014-115189</v>
      </c>
      <c r="B842" s="29">
        <f>IFERROR(__xludf.DUMMYFUNCTION("""COMPUTED_VALUE"""),42003.0)</f>
        <v>42003</v>
      </c>
      <c r="C842" s="26" t="str">
        <f>IFERROR(__xludf.DUMMYFUNCTION("""COMPUTED_VALUE"""),"Corporate")</f>
        <v>Corporate</v>
      </c>
      <c r="D842" s="26" t="str">
        <f>IFERROR(__xludf.DUMMYFUNCTION("""COMPUTED_VALUE"""),"Pennsylvania")</f>
        <v>Pennsylvania</v>
      </c>
      <c r="E842" s="26" t="str">
        <f>IFERROR(__xludf.DUMMYFUNCTION("""COMPUTED_VALUE"""),"East")</f>
        <v>East</v>
      </c>
      <c r="F842" s="26">
        <f>IFERROR(__xludf.DUMMYFUNCTION("""COMPUTED_VALUE"""),251.964)</f>
        <v>251.964</v>
      </c>
      <c r="G842" s="26">
        <f>IFERROR(__xludf.DUMMYFUNCTION("""COMPUTED_VALUE"""),6.0)</f>
        <v>6</v>
      </c>
      <c r="H842" s="26">
        <f>IFERROR(__xludf.DUMMYFUNCTION("""COMPUTED_VALUE"""),-50.3928)</f>
        <v>-50.3928</v>
      </c>
    </row>
    <row r="843">
      <c r="A843" s="26" t="str">
        <f>IFERROR(__xludf.DUMMYFUNCTION("""COMPUTED_VALUE"""),"CA-2014-141649")</f>
        <v>CA-2014-141649</v>
      </c>
      <c r="B843" s="27">
        <f>IFERROR(__xludf.DUMMYFUNCTION("""COMPUTED_VALUE"""),41912.0)</f>
        <v>41912</v>
      </c>
      <c r="C843" s="26" t="str">
        <f>IFERROR(__xludf.DUMMYFUNCTION("""COMPUTED_VALUE"""),"Corporate")</f>
        <v>Corporate</v>
      </c>
      <c r="D843" s="26" t="str">
        <f>IFERROR(__xludf.DUMMYFUNCTION("""COMPUTED_VALUE"""),"Ohio")</f>
        <v>Ohio</v>
      </c>
      <c r="E843" s="26" t="str">
        <f>IFERROR(__xludf.DUMMYFUNCTION("""COMPUTED_VALUE"""),"East")</f>
        <v>East</v>
      </c>
      <c r="F843" s="26">
        <f>IFERROR(__xludf.DUMMYFUNCTION("""COMPUTED_VALUE"""),795.408)</f>
        <v>795.408</v>
      </c>
      <c r="G843" s="26">
        <f>IFERROR(__xludf.DUMMYFUNCTION("""COMPUTED_VALUE"""),6.0)</f>
        <v>6</v>
      </c>
      <c r="H843" s="26">
        <f>IFERROR(__xludf.DUMMYFUNCTION("""COMPUTED_VALUE"""),59.6556)</f>
        <v>59.6556</v>
      </c>
    </row>
    <row r="844">
      <c r="A844" s="26" t="str">
        <f>IFERROR(__xludf.DUMMYFUNCTION("""COMPUTED_VALUE"""),"CA-2014-121769")</f>
        <v>CA-2014-121769</v>
      </c>
      <c r="B844" s="27">
        <f>IFERROR(__xludf.DUMMYFUNCTION("""COMPUTED_VALUE"""),41737.0)</f>
        <v>41737</v>
      </c>
      <c r="C844" s="26" t="str">
        <f>IFERROR(__xludf.DUMMYFUNCTION("""COMPUTED_VALUE"""),"Consumer")</f>
        <v>Consumer</v>
      </c>
      <c r="D844" s="26" t="str">
        <f>IFERROR(__xludf.DUMMYFUNCTION("""COMPUTED_VALUE"""),"Ohio")</f>
        <v>Ohio</v>
      </c>
      <c r="E844" s="26" t="str">
        <f>IFERROR(__xludf.DUMMYFUNCTION("""COMPUTED_VALUE"""),"East")</f>
        <v>East</v>
      </c>
      <c r="F844" s="26">
        <f>IFERROR(__xludf.DUMMYFUNCTION("""COMPUTED_VALUE"""),172.11)</f>
        <v>172.11</v>
      </c>
      <c r="G844" s="26">
        <f>IFERROR(__xludf.DUMMYFUNCTION("""COMPUTED_VALUE"""),1.0)</f>
        <v>1</v>
      </c>
      <c r="H844" s="26">
        <f>IFERROR(__xludf.DUMMYFUNCTION("""COMPUTED_VALUE"""),-94.6605)</f>
        <v>-94.6605</v>
      </c>
    </row>
    <row r="845">
      <c r="A845" s="26" t="str">
        <f>IFERROR(__xludf.DUMMYFUNCTION("""COMPUTED_VALUE"""),"CA-2014-103058")</f>
        <v>CA-2014-103058</v>
      </c>
      <c r="B845" s="27">
        <f>IFERROR(__xludf.DUMMYFUNCTION("""COMPUTED_VALUE"""),41843.0)</f>
        <v>41843</v>
      </c>
      <c r="C845" s="26" t="str">
        <f>IFERROR(__xludf.DUMMYFUNCTION("""COMPUTED_VALUE"""),"Consumer")</f>
        <v>Consumer</v>
      </c>
      <c r="D845" s="26" t="str">
        <f>IFERROR(__xludf.DUMMYFUNCTION("""COMPUTED_VALUE"""),"New York")</f>
        <v>New York</v>
      </c>
      <c r="E845" s="26" t="str">
        <f>IFERROR(__xludf.DUMMYFUNCTION("""COMPUTED_VALUE"""),"East")</f>
        <v>East</v>
      </c>
      <c r="F845" s="26">
        <f>IFERROR(__xludf.DUMMYFUNCTION("""COMPUTED_VALUE"""),99.98)</f>
        <v>99.98</v>
      </c>
      <c r="G845" s="26">
        <f>IFERROR(__xludf.DUMMYFUNCTION("""COMPUTED_VALUE"""),2.0)</f>
        <v>2</v>
      </c>
      <c r="H845" s="26">
        <f>IFERROR(__xludf.DUMMYFUNCTION("""COMPUTED_VALUE"""),7.9984)</f>
        <v>7.9984</v>
      </c>
    </row>
    <row r="846">
      <c r="A846" s="26" t="str">
        <f>IFERROR(__xludf.DUMMYFUNCTION("""COMPUTED_VALUE"""),"CA-2014-138100")</f>
        <v>CA-2014-138100</v>
      </c>
      <c r="B846" s="27">
        <f>IFERROR(__xludf.DUMMYFUNCTION("""COMPUTED_VALUE"""),41897.0)</f>
        <v>41897</v>
      </c>
      <c r="C846" s="26" t="str">
        <f>IFERROR(__xludf.DUMMYFUNCTION("""COMPUTED_VALUE"""),"Consumer")</f>
        <v>Consumer</v>
      </c>
      <c r="D846" s="26" t="str">
        <f>IFERROR(__xludf.DUMMYFUNCTION("""COMPUTED_VALUE"""),"New York")</f>
        <v>New York</v>
      </c>
      <c r="E846" s="26" t="str">
        <f>IFERROR(__xludf.DUMMYFUNCTION("""COMPUTED_VALUE"""),"East")</f>
        <v>East</v>
      </c>
      <c r="F846" s="26">
        <f>IFERROR(__xludf.DUMMYFUNCTION("""COMPUTED_VALUE"""),14.94)</f>
        <v>14.94</v>
      </c>
      <c r="G846" s="26">
        <f>IFERROR(__xludf.DUMMYFUNCTION("""COMPUTED_VALUE"""),3.0)</f>
        <v>3</v>
      </c>
      <c r="H846" s="26">
        <f>IFERROR(__xludf.DUMMYFUNCTION("""COMPUTED_VALUE"""),7.0218)</f>
        <v>7.0218</v>
      </c>
    </row>
    <row r="847">
      <c r="A847" s="26" t="str">
        <f>IFERROR(__xludf.DUMMYFUNCTION("""COMPUTED_VALUE"""),"CA-2014-113964")</f>
        <v>CA-2014-113964</v>
      </c>
      <c r="B847" s="27">
        <f>IFERROR(__xludf.DUMMYFUNCTION("""COMPUTED_VALUE"""),41905.0)</f>
        <v>41905</v>
      </c>
      <c r="C847" s="26" t="str">
        <f>IFERROR(__xludf.DUMMYFUNCTION("""COMPUTED_VALUE"""),"Home Office")</f>
        <v>Home Office</v>
      </c>
      <c r="D847" s="26" t="str">
        <f>IFERROR(__xludf.DUMMYFUNCTION("""COMPUTED_VALUE"""),"New York")</f>
        <v>New York</v>
      </c>
      <c r="E847" s="26" t="str">
        <f>IFERROR(__xludf.DUMMYFUNCTION("""COMPUTED_VALUE"""),"East")</f>
        <v>East</v>
      </c>
      <c r="F847" s="26">
        <f>IFERROR(__xludf.DUMMYFUNCTION("""COMPUTED_VALUE"""),18.464)</f>
        <v>18.464</v>
      </c>
      <c r="G847" s="26">
        <f>IFERROR(__xludf.DUMMYFUNCTION("""COMPUTED_VALUE"""),4.0)</f>
        <v>4</v>
      </c>
      <c r="H847" s="26">
        <f>IFERROR(__xludf.DUMMYFUNCTION("""COMPUTED_VALUE"""),6.924)</f>
        <v>6.924</v>
      </c>
    </row>
    <row r="848">
      <c r="A848" s="26" t="str">
        <f>IFERROR(__xludf.DUMMYFUNCTION("""COMPUTED_VALUE"""),"CA-2014-129938")</f>
        <v>CA-2014-129938</v>
      </c>
      <c r="B848" s="29">
        <f>IFERROR(__xludf.DUMMYFUNCTION("""COMPUTED_VALUE"""),41988.0)</f>
        <v>41988</v>
      </c>
      <c r="C848" s="26" t="str">
        <f>IFERROR(__xludf.DUMMYFUNCTION("""COMPUTED_VALUE"""),"Corporate")</f>
        <v>Corporate</v>
      </c>
      <c r="D848" s="26" t="str">
        <f>IFERROR(__xludf.DUMMYFUNCTION("""COMPUTED_VALUE"""),"Pennsylvania")</f>
        <v>Pennsylvania</v>
      </c>
      <c r="E848" s="26" t="str">
        <f>IFERROR(__xludf.DUMMYFUNCTION("""COMPUTED_VALUE"""),"East")</f>
        <v>East</v>
      </c>
      <c r="F848" s="26">
        <f>IFERROR(__xludf.DUMMYFUNCTION("""COMPUTED_VALUE"""),445.802)</f>
        <v>445.802</v>
      </c>
      <c r="G848" s="26">
        <f>IFERROR(__xludf.DUMMYFUNCTION("""COMPUTED_VALUE"""),7.0)</f>
        <v>7</v>
      </c>
      <c r="H848" s="26">
        <f>IFERROR(__xludf.DUMMYFUNCTION("""COMPUTED_VALUE"""),-108.2662)</f>
        <v>-108.2662</v>
      </c>
    </row>
    <row r="849">
      <c r="A849" s="26" t="str">
        <f>IFERROR(__xludf.DUMMYFUNCTION("""COMPUTED_VALUE"""),"CA-2014-140396")</f>
        <v>CA-2014-140396</v>
      </c>
      <c r="B849" s="29">
        <f>IFERROR(__xludf.DUMMYFUNCTION("""COMPUTED_VALUE"""),41963.0)</f>
        <v>41963</v>
      </c>
      <c r="C849" s="26" t="str">
        <f>IFERROR(__xludf.DUMMYFUNCTION("""COMPUTED_VALUE"""),"Corporate")</f>
        <v>Corporate</v>
      </c>
      <c r="D849" s="26" t="str">
        <f>IFERROR(__xludf.DUMMYFUNCTION("""COMPUTED_VALUE"""),"New York")</f>
        <v>New York</v>
      </c>
      <c r="E849" s="26" t="str">
        <f>IFERROR(__xludf.DUMMYFUNCTION("""COMPUTED_VALUE"""),"East")</f>
        <v>East</v>
      </c>
      <c r="F849" s="26">
        <f>IFERROR(__xludf.DUMMYFUNCTION("""COMPUTED_VALUE"""),34.74)</f>
        <v>34.74</v>
      </c>
      <c r="G849" s="26">
        <f>IFERROR(__xludf.DUMMYFUNCTION("""COMPUTED_VALUE"""),3.0)</f>
        <v>3</v>
      </c>
      <c r="H849" s="26">
        <f>IFERROR(__xludf.DUMMYFUNCTION("""COMPUTED_VALUE"""),17.37)</f>
        <v>17.37</v>
      </c>
    </row>
    <row r="850">
      <c r="A850" s="26" t="str">
        <f>IFERROR(__xludf.DUMMYFUNCTION("""COMPUTED_VALUE"""),"CA-2014-114181")</f>
        <v>CA-2014-114181</v>
      </c>
      <c r="B850" s="27">
        <f>IFERROR(__xludf.DUMMYFUNCTION("""COMPUTED_VALUE"""),41769.0)</f>
        <v>41769</v>
      </c>
      <c r="C850" s="26" t="str">
        <f>IFERROR(__xludf.DUMMYFUNCTION("""COMPUTED_VALUE"""),"Consumer")</f>
        <v>Consumer</v>
      </c>
      <c r="D850" s="26" t="str">
        <f>IFERROR(__xludf.DUMMYFUNCTION("""COMPUTED_VALUE"""),"Pennsylvania")</f>
        <v>Pennsylvania</v>
      </c>
      <c r="E850" s="26" t="str">
        <f>IFERROR(__xludf.DUMMYFUNCTION("""COMPUTED_VALUE"""),"East")</f>
        <v>East</v>
      </c>
      <c r="F850" s="26">
        <f>IFERROR(__xludf.DUMMYFUNCTION("""COMPUTED_VALUE"""),349.965)</f>
        <v>349.965</v>
      </c>
      <c r="G850" s="26">
        <f>IFERROR(__xludf.DUMMYFUNCTION("""COMPUTED_VALUE"""),7.0)</f>
        <v>7</v>
      </c>
      <c r="H850" s="26">
        <f>IFERROR(__xludf.DUMMYFUNCTION("""COMPUTED_VALUE"""),-216.9783)</f>
        <v>-216.9783</v>
      </c>
    </row>
    <row r="851">
      <c r="A851" s="26" t="str">
        <f>IFERROR(__xludf.DUMMYFUNCTION("""COMPUTED_VALUE"""),"US-2014-137155")</f>
        <v>US-2014-137155</v>
      </c>
      <c r="B851" s="27">
        <f>IFERROR(__xludf.DUMMYFUNCTION("""COMPUTED_VALUE"""),41944.0)</f>
        <v>41944</v>
      </c>
      <c r="C851" s="26" t="str">
        <f>IFERROR(__xludf.DUMMYFUNCTION("""COMPUTED_VALUE"""),"Consumer")</f>
        <v>Consumer</v>
      </c>
      <c r="D851" s="26" t="str">
        <f>IFERROR(__xludf.DUMMYFUNCTION("""COMPUTED_VALUE"""),"New York")</f>
        <v>New York</v>
      </c>
      <c r="E851" s="26" t="str">
        <f>IFERROR(__xludf.DUMMYFUNCTION("""COMPUTED_VALUE"""),"East")</f>
        <v>East</v>
      </c>
      <c r="F851" s="26">
        <f>IFERROR(__xludf.DUMMYFUNCTION("""COMPUTED_VALUE"""),533.94)</f>
        <v>533.94</v>
      </c>
      <c r="G851" s="26">
        <f>IFERROR(__xludf.DUMMYFUNCTION("""COMPUTED_VALUE"""),3.0)</f>
        <v>3</v>
      </c>
      <c r="H851" s="26">
        <f>IFERROR(__xludf.DUMMYFUNCTION("""COMPUTED_VALUE"""),154.8426)</f>
        <v>154.8426</v>
      </c>
    </row>
    <row r="852">
      <c r="A852" s="26" t="str">
        <f>IFERROR(__xludf.DUMMYFUNCTION("""COMPUTED_VALUE"""),"CA-2014-124464")</f>
        <v>CA-2014-124464</v>
      </c>
      <c r="B852" s="27">
        <f>IFERROR(__xludf.DUMMYFUNCTION("""COMPUTED_VALUE"""),41834.0)</f>
        <v>41834</v>
      </c>
      <c r="C852" s="26" t="str">
        <f>IFERROR(__xludf.DUMMYFUNCTION("""COMPUTED_VALUE"""),"Home Office")</f>
        <v>Home Office</v>
      </c>
      <c r="D852" s="26" t="str">
        <f>IFERROR(__xludf.DUMMYFUNCTION("""COMPUTED_VALUE"""),"Delaware")</f>
        <v>Delaware</v>
      </c>
      <c r="E852" s="26" t="str">
        <f>IFERROR(__xludf.DUMMYFUNCTION("""COMPUTED_VALUE"""),"East")</f>
        <v>East</v>
      </c>
      <c r="F852" s="26">
        <f>IFERROR(__xludf.DUMMYFUNCTION("""COMPUTED_VALUE"""),39.48)</f>
        <v>39.48</v>
      </c>
      <c r="G852" s="26">
        <f>IFERROR(__xludf.DUMMYFUNCTION("""COMPUTED_VALUE"""),1.0)</f>
        <v>1</v>
      </c>
      <c r="H852" s="26">
        <f>IFERROR(__xludf.DUMMYFUNCTION("""COMPUTED_VALUE"""),11.0544)</f>
        <v>11.0544</v>
      </c>
    </row>
    <row r="853">
      <c r="A853" s="26" t="str">
        <f>IFERROR(__xludf.DUMMYFUNCTION("""COMPUTED_VALUE"""),"CA-2014-133592")</f>
        <v>CA-2014-133592</v>
      </c>
      <c r="B853" s="29">
        <f>IFERROR(__xludf.DUMMYFUNCTION("""COMPUTED_VALUE"""),42004.0)</f>
        <v>42004</v>
      </c>
      <c r="C853" s="26" t="str">
        <f>IFERROR(__xludf.DUMMYFUNCTION("""COMPUTED_VALUE"""),"Home Office")</f>
        <v>Home Office</v>
      </c>
      <c r="D853" s="26" t="str">
        <f>IFERROR(__xludf.DUMMYFUNCTION("""COMPUTED_VALUE"""),"Rhode Island")</f>
        <v>Rhode Island</v>
      </c>
      <c r="E853" s="26" t="str">
        <f>IFERROR(__xludf.DUMMYFUNCTION("""COMPUTED_VALUE"""),"East")</f>
        <v>East</v>
      </c>
      <c r="F853" s="26">
        <f>IFERROR(__xludf.DUMMYFUNCTION("""COMPUTED_VALUE"""),195.64)</f>
        <v>195.64</v>
      </c>
      <c r="G853" s="26">
        <f>IFERROR(__xludf.DUMMYFUNCTION("""COMPUTED_VALUE"""),4.0)</f>
        <v>4</v>
      </c>
      <c r="H853" s="26">
        <f>IFERROR(__xludf.DUMMYFUNCTION("""COMPUTED_VALUE"""),91.9508)</f>
        <v>91.9508</v>
      </c>
    </row>
    <row r="854">
      <c r="A854" s="26" t="str">
        <f>IFERROR(__xludf.DUMMYFUNCTION("""COMPUTED_VALUE"""),"CA-2014-139542")</f>
        <v>CA-2014-139542</v>
      </c>
      <c r="B854" s="29">
        <f>IFERROR(__xludf.DUMMYFUNCTION("""COMPUTED_VALUE"""),41937.0)</f>
        <v>41937</v>
      </c>
      <c r="C854" s="26" t="str">
        <f>IFERROR(__xludf.DUMMYFUNCTION("""COMPUTED_VALUE"""),"Consumer")</f>
        <v>Consumer</v>
      </c>
      <c r="D854" s="26" t="str">
        <f>IFERROR(__xludf.DUMMYFUNCTION("""COMPUTED_VALUE"""),"Pennsylvania")</f>
        <v>Pennsylvania</v>
      </c>
      <c r="E854" s="26" t="str">
        <f>IFERROR(__xludf.DUMMYFUNCTION("""COMPUTED_VALUE"""),"East")</f>
        <v>East</v>
      </c>
      <c r="F854" s="26">
        <f>IFERROR(__xludf.DUMMYFUNCTION("""COMPUTED_VALUE"""),40.776)</f>
        <v>40.776</v>
      </c>
      <c r="G854" s="26">
        <f>IFERROR(__xludf.DUMMYFUNCTION("""COMPUTED_VALUE"""),3.0)</f>
        <v>3</v>
      </c>
      <c r="H854" s="26">
        <f>IFERROR(__xludf.DUMMYFUNCTION("""COMPUTED_VALUE"""),0.5097)</f>
        <v>0.5097</v>
      </c>
    </row>
    <row r="855">
      <c r="A855" s="26" t="str">
        <f>IFERROR(__xludf.DUMMYFUNCTION("""COMPUTED_VALUE"""),"CA-2014-105872")</f>
        <v>CA-2014-105872</v>
      </c>
      <c r="B855" s="27">
        <f>IFERROR(__xludf.DUMMYFUNCTION("""COMPUTED_VALUE"""),41789.0)</f>
        <v>41789</v>
      </c>
      <c r="C855" s="26" t="str">
        <f>IFERROR(__xludf.DUMMYFUNCTION("""COMPUTED_VALUE"""),"Consumer")</f>
        <v>Consumer</v>
      </c>
      <c r="D855" s="26" t="str">
        <f>IFERROR(__xludf.DUMMYFUNCTION("""COMPUTED_VALUE"""),"New York")</f>
        <v>New York</v>
      </c>
      <c r="E855" s="26" t="str">
        <f>IFERROR(__xludf.DUMMYFUNCTION("""COMPUTED_VALUE"""),"East")</f>
        <v>East</v>
      </c>
      <c r="F855" s="26">
        <f>IFERROR(__xludf.DUMMYFUNCTION("""COMPUTED_VALUE"""),70.368)</f>
        <v>70.368</v>
      </c>
      <c r="G855" s="26">
        <f>IFERROR(__xludf.DUMMYFUNCTION("""COMPUTED_VALUE"""),4.0)</f>
        <v>4</v>
      </c>
      <c r="H855" s="26">
        <f>IFERROR(__xludf.DUMMYFUNCTION("""COMPUTED_VALUE"""),26.388)</f>
        <v>26.388</v>
      </c>
    </row>
    <row r="856">
      <c r="A856" s="26" t="str">
        <f>IFERROR(__xludf.DUMMYFUNCTION("""COMPUTED_VALUE"""),"US-2014-111353")</f>
        <v>US-2014-111353</v>
      </c>
      <c r="B856" s="29">
        <f>IFERROR(__xludf.DUMMYFUNCTION("""COMPUTED_VALUE"""),41972.0)</f>
        <v>41972</v>
      </c>
      <c r="C856" s="26" t="str">
        <f>IFERROR(__xludf.DUMMYFUNCTION("""COMPUTED_VALUE"""),"Consumer")</f>
        <v>Consumer</v>
      </c>
      <c r="D856" s="26" t="str">
        <f>IFERROR(__xludf.DUMMYFUNCTION("""COMPUTED_VALUE"""),"New York")</f>
        <v>New York</v>
      </c>
      <c r="E856" s="26" t="str">
        <f>IFERROR(__xludf.DUMMYFUNCTION("""COMPUTED_VALUE"""),"East")</f>
        <v>East</v>
      </c>
      <c r="F856" s="26">
        <f>IFERROR(__xludf.DUMMYFUNCTION("""COMPUTED_VALUE"""),25.06)</f>
        <v>25.06</v>
      </c>
      <c r="G856" s="26">
        <f>IFERROR(__xludf.DUMMYFUNCTION("""COMPUTED_VALUE"""),2.0)</f>
        <v>2</v>
      </c>
      <c r="H856" s="26">
        <f>IFERROR(__xludf.DUMMYFUNCTION("""COMPUTED_VALUE"""),11.7782)</f>
        <v>11.7782</v>
      </c>
    </row>
    <row r="857">
      <c r="A857" s="26" t="str">
        <f>IFERROR(__xludf.DUMMYFUNCTION("""COMPUTED_VALUE"""),"US-2014-115413")</f>
        <v>US-2014-115413</v>
      </c>
      <c r="B857" s="27">
        <f>IFERROR(__xludf.DUMMYFUNCTION("""COMPUTED_VALUE"""),41877.0)</f>
        <v>41877</v>
      </c>
      <c r="C857" s="26" t="str">
        <f>IFERROR(__xludf.DUMMYFUNCTION("""COMPUTED_VALUE"""),"Home Office")</f>
        <v>Home Office</v>
      </c>
      <c r="D857" s="26" t="str">
        <f>IFERROR(__xludf.DUMMYFUNCTION("""COMPUTED_VALUE"""),"Delaware")</f>
        <v>Delaware</v>
      </c>
      <c r="E857" s="26" t="str">
        <f>IFERROR(__xludf.DUMMYFUNCTION("""COMPUTED_VALUE"""),"East")</f>
        <v>East</v>
      </c>
      <c r="F857" s="26">
        <f>IFERROR(__xludf.DUMMYFUNCTION("""COMPUTED_VALUE"""),8.64)</f>
        <v>8.64</v>
      </c>
      <c r="G857" s="26">
        <f>IFERROR(__xludf.DUMMYFUNCTION("""COMPUTED_VALUE"""),3.0)</f>
        <v>3</v>
      </c>
      <c r="H857" s="26">
        <f>IFERROR(__xludf.DUMMYFUNCTION("""COMPUTED_VALUE"""),2.5056)</f>
        <v>2.5056</v>
      </c>
    </row>
    <row r="858">
      <c r="A858" s="26" t="str">
        <f>IFERROR(__xludf.DUMMYFUNCTION("""COMPUTED_VALUE"""),"CA-2014-103429")</f>
        <v>CA-2014-103429</v>
      </c>
      <c r="B858" s="27">
        <f>IFERROR(__xludf.DUMMYFUNCTION("""COMPUTED_VALUE"""),41789.0)</f>
        <v>41789</v>
      </c>
      <c r="C858" s="26" t="str">
        <f>IFERROR(__xludf.DUMMYFUNCTION("""COMPUTED_VALUE"""),"Corporate")</f>
        <v>Corporate</v>
      </c>
      <c r="D858" s="26" t="str">
        <f>IFERROR(__xludf.DUMMYFUNCTION("""COMPUTED_VALUE"""),"New York")</f>
        <v>New York</v>
      </c>
      <c r="E858" s="26" t="str">
        <f>IFERROR(__xludf.DUMMYFUNCTION("""COMPUTED_VALUE"""),"East")</f>
        <v>East</v>
      </c>
      <c r="F858" s="26">
        <f>IFERROR(__xludf.DUMMYFUNCTION("""COMPUTED_VALUE"""),25.584)</f>
        <v>25.584</v>
      </c>
      <c r="G858" s="26">
        <f>IFERROR(__xludf.DUMMYFUNCTION("""COMPUTED_VALUE"""),2.0)</f>
        <v>2</v>
      </c>
      <c r="H858" s="26">
        <f>IFERROR(__xludf.DUMMYFUNCTION("""COMPUTED_VALUE"""),8.9544)</f>
        <v>8.9544</v>
      </c>
    </row>
    <row r="859">
      <c r="A859" s="26" t="str">
        <f>IFERROR(__xludf.DUMMYFUNCTION("""COMPUTED_VALUE"""),"CA-2014-138359")</f>
        <v>CA-2014-138359</v>
      </c>
      <c r="B859" s="27">
        <f>IFERROR(__xludf.DUMMYFUNCTION("""COMPUTED_VALUE"""),41730.0)</f>
        <v>41730</v>
      </c>
      <c r="C859" s="26" t="str">
        <f>IFERROR(__xludf.DUMMYFUNCTION("""COMPUTED_VALUE"""),"Corporate")</f>
        <v>Corporate</v>
      </c>
      <c r="D859" s="26" t="str">
        <f>IFERROR(__xludf.DUMMYFUNCTION("""COMPUTED_VALUE"""),"Massachusetts")</f>
        <v>Massachusetts</v>
      </c>
      <c r="E859" s="26" t="str">
        <f>IFERROR(__xludf.DUMMYFUNCTION("""COMPUTED_VALUE"""),"East")</f>
        <v>East</v>
      </c>
      <c r="F859" s="26">
        <f>IFERROR(__xludf.DUMMYFUNCTION("""COMPUTED_VALUE"""),66.96)</f>
        <v>66.96</v>
      </c>
      <c r="G859" s="26">
        <f>IFERROR(__xludf.DUMMYFUNCTION("""COMPUTED_VALUE"""),4.0)</f>
        <v>4</v>
      </c>
      <c r="H859" s="26">
        <f>IFERROR(__xludf.DUMMYFUNCTION("""COMPUTED_VALUE"""),2.6784)</f>
        <v>2.6784</v>
      </c>
    </row>
    <row r="860">
      <c r="A860" s="26" t="str">
        <f>IFERROR(__xludf.DUMMYFUNCTION("""COMPUTED_VALUE"""),"CA-2014-113383")</f>
        <v>CA-2014-113383</v>
      </c>
      <c r="B860" s="27">
        <f>IFERROR(__xludf.DUMMYFUNCTION("""COMPUTED_VALUE"""),41892.0)</f>
        <v>41892</v>
      </c>
      <c r="C860" s="26" t="str">
        <f>IFERROR(__xludf.DUMMYFUNCTION("""COMPUTED_VALUE"""),"Consumer")</f>
        <v>Consumer</v>
      </c>
      <c r="D860" s="26" t="str">
        <f>IFERROR(__xludf.DUMMYFUNCTION("""COMPUTED_VALUE"""),"New Jersey")</f>
        <v>New Jersey</v>
      </c>
      <c r="E860" s="26" t="str">
        <f>IFERROR(__xludf.DUMMYFUNCTION("""COMPUTED_VALUE"""),"East")</f>
        <v>East</v>
      </c>
      <c r="F860" s="26">
        <f>IFERROR(__xludf.DUMMYFUNCTION("""COMPUTED_VALUE"""),81.92)</f>
        <v>81.92</v>
      </c>
      <c r="G860" s="26">
        <f>IFERROR(__xludf.DUMMYFUNCTION("""COMPUTED_VALUE"""),4.0)</f>
        <v>4</v>
      </c>
      <c r="H860" s="26">
        <f>IFERROR(__xludf.DUMMYFUNCTION("""COMPUTED_VALUE"""),22.1184)</f>
        <v>22.1184</v>
      </c>
    </row>
    <row r="861">
      <c r="A861" s="26" t="str">
        <f>IFERROR(__xludf.DUMMYFUNCTION("""COMPUTED_VALUE"""),"CA-2014-143210")</f>
        <v>CA-2014-143210</v>
      </c>
      <c r="B861" s="27">
        <f>IFERROR(__xludf.DUMMYFUNCTION("""COMPUTED_VALUE"""),41974.0)</f>
        <v>41974</v>
      </c>
      <c r="C861" s="26" t="str">
        <f>IFERROR(__xludf.DUMMYFUNCTION("""COMPUTED_VALUE"""),"Consumer")</f>
        <v>Consumer</v>
      </c>
      <c r="D861" s="26" t="str">
        <f>IFERROR(__xludf.DUMMYFUNCTION("""COMPUTED_VALUE"""),"Massachusetts")</f>
        <v>Massachusetts</v>
      </c>
      <c r="E861" s="26" t="str">
        <f>IFERROR(__xludf.DUMMYFUNCTION("""COMPUTED_VALUE"""),"East")</f>
        <v>East</v>
      </c>
      <c r="F861" s="26">
        <f>IFERROR(__xludf.DUMMYFUNCTION("""COMPUTED_VALUE"""),271.9)</f>
        <v>271.9</v>
      </c>
      <c r="G861" s="26">
        <f>IFERROR(__xludf.DUMMYFUNCTION("""COMPUTED_VALUE"""),2.0)</f>
        <v>2</v>
      </c>
      <c r="H861" s="26">
        <f>IFERROR(__xludf.DUMMYFUNCTION("""COMPUTED_VALUE"""),78.851)</f>
        <v>78.851</v>
      </c>
    </row>
    <row r="862">
      <c r="A862" s="26" t="str">
        <f>IFERROR(__xludf.DUMMYFUNCTION("""COMPUTED_VALUE"""),"CA-2014-127859")</f>
        <v>CA-2014-127859</v>
      </c>
      <c r="B862" s="27">
        <f>IFERROR(__xludf.DUMMYFUNCTION("""COMPUTED_VALUE"""),41715.0)</f>
        <v>41715</v>
      </c>
      <c r="C862" s="26" t="str">
        <f>IFERROR(__xludf.DUMMYFUNCTION("""COMPUTED_VALUE"""),"Corporate")</f>
        <v>Corporate</v>
      </c>
      <c r="D862" s="26" t="str">
        <f>IFERROR(__xludf.DUMMYFUNCTION("""COMPUTED_VALUE"""),"Pennsylvania")</f>
        <v>Pennsylvania</v>
      </c>
      <c r="E862" s="26" t="str">
        <f>IFERROR(__xludf.DUMMYFUNCTION("""COMPUTED_VALUE"""),"East")</f>
        <v>East</v>
      </c>
      <c r="F862" s="26">
        <f>IFERROR(__xludf.DUMMYFUNCTION("""COMPUTED_VALUE"""),126.624)</f>
        <v>126.624</v>
      </c>
      <c r="G862" s="26">
        <f>IFERROR(__xludf.DUMMYFUNCTION("""COMPUTED_VALUE"""),6.0)</f>
        <v>6</v>
      </c>
      <c r="H862" s="26">
        <f>IFERROR(__xludf.DUMMYFUNCTION("""COMPUTED_VALUE"""),41.1528)</f>
        <v>41.1528</v>
      </c>
    </row>
    <row r="863">
      <c r="A863" s="26" t="str">
        <f>IFERROR(__xludf.DUMMYFUNCTION("""COMPUTED_VALUE"""),"US-2014-131870")</f>
        <v>US-2014-131870</v>
      </c>
      <c r="B863" s="27">
        <f>IFERROR(__xludf.DUMMYFUNCTION("""COMPUTED_VALUE"""),41891.0)</f>
        <v>41891</v>
      </c>
      <c r="C863" s="26" t="str">
        <f>IFERROR(__xludf.DUMMYFUNCTION("""COMPUTED_VALUE"""),"Home Office")</f>
        <v>Home Office</v>
      </c>
      <c r="D863" s="26" t="str">
        <f>IFERROR(__xludf.DUMMYFUNCTION("""COMPUTED_VALUE"""),"Ohio")</f>
        <v>Ohio</v>
      </c>
      <c r="E863" s="26" t="str">
        <f>IFERROR(__xludf.DUMMYFUNCTION("""COMPUTED_VALUE"""),"East")</f>
        <v>East</v>
      </c>
      <c r="F863" s="26">
        <f>IFERROR(__xludf.DUMMYFUNCTION("""COMPUTED_VALUE"""),60.672)</f>
        <v>60.672</v>
      </c>
      <c r="G863" s="26">
        <f>IFERROR(__xludf.DUMMYFUNCTION("""COMPUTED_VALUE"""),6.0)</f>
        <v>6</v>
      </c>
      <c r="H863" s="26">
        <f>IFERROR(__xludf.DUMMYFUNCTION("""COMPUTED_VALUE"""),12.8928)</f>
        <v>12.8928</v>
      </c>
    </row>
    <row r="864">
      <c r="A864" s="26" t="str">
        <f>IFERROR(__xludf.DUMMYFUNCTION("""COMPUTED_VALUE"""),"CA-2014-144974")</f>
        <v>CA-2014-144974</v>
      </c>
      <c r="B864" s="27">
        <f>IFERROR(__xludf.DUMMYFUNCTION("""COMPUTED_VALUE"""),41908.0)</f>
        <v>41908</v>
      </c>
      <c r="C864" s="26" t="str">
        <f>IFERROR(__xludf.DUMMYFUNCTION("""COMPUTED_VALUE"""),"Corporate")</f>
        <v>Corporate</v>
      </c>
      <c r="D864" s="26" t="str">
        <f>IFERROR(__xludf.DUMMYFUNCTION("""COMPUTED_VALUE"""),"Pennsylvania")</f>
        <v>Pennsylvania</v>
      </c>
      <c r="E864" s="26" t="str">
        <f>IFERROR(__xludf.DUMMYFUNCTION("""COMPUTED_VALUE"""),"East")</f>
        <v>East</v>
      </c>
      <c r="F864" s="26">
        <f>IFERROR(__xludf.DUMMYFUNCTION("""COMPUTED_VALUE"""),5.97)</f>
        <v>5.97</v>
      </c>
      <c r="G864" s="26">
        <f>IFERROR(__xludf.DUMMYFUNCTION("""COMPUTED_VALUE"""),5.0)</f>
        <v>5</v>
      </c>
      <c r="H864" s="26">
        <f>IFERROR(__xludf.DUMMYFUNCTION("""COMPUTED_VALUE"""),-4.577)</f>
        <v>-4.577</v>
      </c>
    </row>
    <row r="865">
      <c r="A865" s="26" t="str">
        <f>IFERROR(__xludf.DUMMYFUNCTION("""COMPUTED_VALUE"""),"CA-2014-109904")</f>
        <v>CA-2014-109904</v>
      </c>
      <c r="B865" s="27">
        <f>IFERROR(__xludf.DUMMYFUNCTION("""COMPUTED_VALUE"""),41834.0)</f>
        <v>41834</v>
      </c>
      <c r="C865" s="26" t="str">
        <f>IFERROR(__xludf.DUMMYFUNCTION("""COMPUTED_VALUE"""),"Corporate")</f>
        <v>Corporate</v>
      </c>
      <c r="D865" s="26" t="str">
        <f>IFERROR(__xludf.DUMMYFUNCTION("""COMPUTED_VALUE"""),"New York")</f>
        <v>New York</v>
      </c>
      <c r="E865" s="26" t="str">
        <f>IFERROR(__xludf.DUMMYFUNCTION("""COMPUTED_VALUE"""),"East")</f>
        <v>East</v>
      </c>
      <c r="F865" s="26">
        <f>IFERROR(__xludf.DUMMYFUNCTION("""COMPUTED_VALUE"""),17.94)</f>
        <v>17.94</v>
      </c>
      <c r="G865" s="26">
        <f>IFERROR(__xludf.DUMMYFUNCTION("""COMPUTED_VALUE"""),3.0)</f>
        <v>3</v>
      </c>
      <c r="H865" s="26">
        <f>IFERROR(__xludf.DUMMYFUNCTION("""COMPUTED_VALUE"""),4.485)</f>
        <v>4.485</v>
      </c>
    </row>
    <row r="866">
      <c r="A866" s="26" t="str">
        <f>IFERROR(__xludf.DUMMYFUNCTION("""COMPUTED_VALUE"""),"CA-2014-138128")</f>
        <v>CA-2014-138128</v>
      </c>
      <c r="B866" s="27">
        <f>IFERROR(__xludf.DUMMYFUNCTION("""COMPUTED_VALUE"""),41982.0)</f>
        <v>41982</v>
      </c>
      <c r="C866" s="26" t="str">
        <f>IFERROR(__xludf.DUMMYFUNCTION("""COMPUTED_VALUE"""),"Consumer")</f>
        <v>Consumer</v>
      </c>
      <c r="D866" s="26" t="str">
        <f>IFERROR(__xludf.DUMMYFUNCTION("""COMPUTED_VALUE"""),"Pennsylvania")</f>
        <v>Pennsylvania</v>
      </c>
      <c r="E866" s="26" t="str">
        <f>IFERROR(__xludf.DUMMYFUNCTION("""COMPUTED_VALUE"""),"East")</f>
        <v>East</v>
      </c>
      <c r="F866" s="26">
        <f>IFERROR(__xludf.DUMMYFUNCTION("""COMPUTED_VALUE"""),30.672)</f>
        <v>30.672</v>
      </c>
      <c r="G866" s="26">
        <f>IFERROR(__xludf.DUMMYFUNCTION("""COMPUTED_VALUE"""),3.0)</f>
        <v>3</v>
      </c>
      <c r="H866" s="26">
        <f>IFERROR(__xludf.DUMMYFUNCTION("""COMPUTED_VALUE"""),9.585)</f>
        <v>9.585</v>
      </c>
    </row>
    <row r="867">
      <c r="A867" s="26" t="str">
        <f>IFERROR(__xludf.DUMMYFUNCTION("""COMPUTED_VALUE"""),"CA-2014-103219")</f>
        <v>CA-2014-103219</v>
      </c>
      <c r="B867" s="27">
        <f>IFERROR(__xludf.DUMMYFUNCTION("""COMPUTED_VALUE"""),41952.0)</f>
        <v>41952</v>
      </c>
      <c r="C867" s="26" t="str">
        <f>IFERROR(__xludf.DUMMYFUNCTION("""COMPUTED_VALUE"""),"Home Office")</f>
        <v>Home Office</v>
      </c>
      <c r="D867" s="26" t="str">
        <f>IFERROR(__xludf.DUMMYFUNCTION("""COMPUTED_VALUE"""),"New York")</f>
        <v>New York</v>
      </c>
      <c r="E867" s="26" t="str">
        <f>IFERROR(__xludf.DUMMYFUNCTION("""COMPUTED_VALUE"""),"East")</f>
        <v>East</v>
      </c>
      <c r="F867" s="26">
        <f>IFERROR(__xludf.DUMMYFUNCTION("""COMPUTED_VALUE"""),56.52)</f>
        <v>56.52</v>
      </c>
      <c r="G867" s="26">
        <f>IFERROR(__xludf.DUMMYFUNCTION("""COMPUTED_VALUE"""),9.0)</f>
        <v>9</v>
      </c>
      <c r="H867" s="26">
        <f>IFERROR(__xludf.DUMMYFUNCTION("""COMPUTED_VALUE"""),21.4776)</f>
        <v>21.4776</v>
      </c>
    </row>
    <row r="868">
      <c r="A868" s="26" t="str">
        <f>IFERROR(__xludf.DUMMYFUNCTION("""COMPUTED_VALUE"""),"CA-2014-109855")</f>
        <v>CA-2014-109855</v>
      </c>
      <c r="B868" s="27">
        <f>IFERROR(__xludf.DUMMYFUNCTION("""COMPUTED_VALUE"""),41883.0)</f>
        <v>41883</v>
      </c>
      <c r="C868" s="26" t="str">
        <f>IFERROR(__xludf.DUMMYFUNCTION("""COMPUTED_VALUE"""),"Consumer")</f>
        <v>Consumer</v>
      </c>
      <c r="D868" s="26" t="str">
        <f>IFERROR(__xludf.DUMMYFUNCTION("""COMPUTED_VALUE"""),"New York")</f>
        <v>New York</v>
      </c>
      <c r="E868" s="26" t="str">
        <f>IFERROR(__xludf.DUMMYFUNCTION("""COMPUTED_VALUE"""),"East")</f>
        <v>East</v>
      </c>
      <c r="F868" s="26">
        <f>IFERROR(__xludf.DUMMYFUNCTION("""COMPUTED_VALUE"""),23.744)</f>
        <v>23.744</v>
      </c>
      <c r="G868" s="26">
        <f>IFERROR(__xludf.DUMMYFUNCTION("""COMPUTED_VALUE"""),2.0)</f>
        <v>2</v>
      </c>
      <c r="H868" s="26">
        <f>IFERROR(__xludf.DUMMYFUNCTION("""COMPUTED_VALUE"""),8.3104)</f>
        <v>8.3104</v>
      </c>
    </row>
    <row r="869">
      <c r="A869" s="26" t="str">
        <f>IFERROR(__xludf.DUMMYFUNCTION("""COMPUTED_VALUE"""),"CA-2014-131800")</f>
        <v>CA-2014-131800</v>
      </c>
      <c r="B869" s="29">
        <f>IFERROR(__xludf.DUMMYFUNCTION("""COMPUTED_VALUE"""),42003.0)</f>
        <v>42003</v>
      </c>
      <c r="C869" s="26" t="str">
        <f>IFERROR(__xludf.DUMMYFUNCTION("""COMPUTED_VALUE"""),"Consumer")</f>
        <v>Consumer</v>
      </c>
      <c r="D869" s="26" t="str">
        <f>IFERROR(__xludf.DUMMYFUNCTION("""COMPUTED_VALUE"""),"New York")</f>
        <v>New York</v>
      </c>
      <c r="E869" s="26" t="str">
        <f>IFERROR(__xludf.DUMMYFUNCTION("""COMPUTED_VALUE"""),"East")</f>
        <v>East</v>
      </c>
      <c r="F869" s="26">
        <f>IFERROR(__xludf.DUMMYFUNCTION("""COMPUTED_VALUE"""),122.94)</f>
        <v>122.94</v>
      </c>
      <c r="G869" s="26">
        <f>IFERROR(__xludf.DUMMYFUNCTION("""COMPUTED_VALUE"""),3.0)</f>
        <v>3</v>
      </c>
      <c r="H869" s="26">
        <f>IFERROR(__xludf.DUMMYFUNCTION("""COMPUTED_VALUE"""),30.735)</f>
        <v>30.735</v>
      </c>
    </row>
    <row r="870">
      <c r="A870" s="26" t="str">
        <f>IFERROR(__xludf.DUMMYFUNCTION("""COMPUTED_VALUE"""),"CA-2014-118304")</f>
        <v>CA-2014-118304</v>
      </c>
      <c r="B870" s="27">
        <f>IFERROR(__xludf.DUMMYFUNCTION("""COMPUTED_VALUE"""),41758.0)</f>
        <v>41758</v>
      </c>
      <c r="C870" s="26" t="str">
        <f>IFERROR(__xludf.DUMMYFUNCTION("""COMPUTED_VALUE"""),"Consumer")</f>
        <v>Consumer</v>
      </c>
      <c r="D870" s="26" t="str">
        <f>IFERROR(__xludf.DUMMYFUNCTION("""COMPUTED_VALUE"""),"Delaware")</f>
        <v>Delaware</v>
      </c>
      <c r="E870" s="26" t="str">
        <f>IFERROR(__xludf.DUMMYFUNCTION("""COMPUTED_VALUE"""),"East")</f>
        <v>East</v>
      </c>
      <c r="F870" s="26">
        <f>IFERROR(__xludf.DUMMYFUNCTION("""COMPUTED_VALUE"""),19.98)</f>
        <v>19.98</v>
      </c>
      <c r="G870" s="26">
        <f>IFERROR(__xludf.DUMMYFUNCTION("""COMPUTED_VALUE"""),2.0)</f>
        <v>2</v>
      </c>
      <c r="H870" s="26">
        <f>IFERROR(__xludf.DUMMYFUNCTION("""COMPUTED_VALUE"""),5.1948)</f>
        <v>5.1948</v>
      </c>
    </row>
    <row r="871">
      <c r="A871" s="26" t="str">
        <f>IFERROR(__xludf.DUMMYFUNCTION("""COMPUTED_VALUE"""),"CA-2014-139423")</f>
        <v>CA-2014-139423</v>
      </c>
      <c r="B871" s="27">
        <f>IFERROR(__xludf.DUMMYFUNCTION("""COMPUTED_VALUE"""),41944.0)</f>
        <v>41944</v>
      </c>
      <c r="C871" s="26" t="str">
        <f>IFERROR(__xludf.DUMMYFUNCTION("""COMPUTED_VALUE"""),"Corporate")</f>
        <v>Corporate</v>
      </c>
      <c r="D871" s="26" t="str">
        <f>IFERROR(__xludf.DUMMYFUNCTION("""COMPUTED_VALUE"""),"New Jersey")</f>
        <v>New Jersey</v>
      </c>
      <c r="E871" s="26" t="str">
        <f>IFERROR(__xludf.DUMMYFUNCTION("""COMPUTED_VALUE"""),"East")</f>
        <v>East</v>
      </c>
      <c r="F871" s="26">
        <f>IFERROR(__xludf.DUMMYFUNCTION("""COMPUTED_VALUE"""),76.12)</f>
        <v>76.12</v>
      </c>
      <c r="G871" s="26">
        <f>IFERROR(__xludf.DUMMYFUNCTION("""COMPUTED_VALUE"""),2.0)</f>
        <v>2</v>
      </c>
      <c r="H871" s="26">
        <f>IFERROR(__xludf.DUMMYFUNCTION("""COMPUTED_VALUE"""),22.0748)</f>
        <v>22.0748</v>
      </c>
    </row>
    <row r="872">
      <c r="A872" s="26" t="str">
        <f>IFERROR(__xludf.DUMMYFUNCTION("""COMPUTED_VALUE"""),"CA-2014-146500")</f>
        <v>CA-2014-146500</v>
      </c>
      <c r="B872" s="27">
        <f>IFERROR(__xludf.DUMMYFUNCTION("""COMPUTED_VALUE"""),41881.0)</f>
        <v>41881</v>
      </c>
      <c r="C872" s="26" t="str">
        <f>IFERROR(__xludf.DUMMYFUNCTION("""COMPUTED_VALUE"""),"Consumer")</f>
        <v>Consumer</v>
      </c>
      <c r="D872" s="26" t="str">
        <f>IFERROR(__xludf.DUMMYFUNCTION("""COMPUTED_VALUE"""),"Connecticut")</f>
        <v>Connecticut</v>
      </c>
      <c r="E872" s="26" t="str">
        <f>IFERROR(__xludf.DUMMYFUNCTION("""COMPUTED_VALUE"""),"East")</f>
        <v>East</v>
      </c>
      <c r="F872" s="26">
        <f>IFERROR(__xludf.DUMMYFUNCTION("""COMPUTED_VALUE"""),25.3)</f>
        <v>25.3</v>
      </c>
      <c r="G872" s="26">
        <f>IFERROR(__xludf.DUMMYFUNCTION("""COMPUTED_VALUE"""),5.0)</f>
        <v>5</v>
      </c>
      <c r="H872" s="26">
        <f>IFERROR(__xludf.DUMMYFUNCTION("""COMPUTED_VALUE"""),11.891)</f>
        <v>11.891</v>
      </c>
    </row>
    <row r="873">
      <c r="A873" s="26" t="str">
        <f>IFERROR(__xludf.DUMMYFUNCTION("""COMPUTED_VALUE"""),"CA-2014-169061")</f>
        <v>CA-2014-169061</v>
      </c>
      <c r="B873" s="27">
        <f>IFERROR(__xludf.DUMMYFUNCTION("""COMPUTED_VALUE"""),41703.0)</f>
        <v>41703</v>
      </c>
      <c r="C873" s="26" t="str">
        <f>IFERROR(__xludf.DUMMYFUNCTION("""COMPUTED_VALUE"""),"Consumer")</f>
        <v>Consumer</v>
      </c>
      <c r="D873" s="26" t="str">
        <f>IFERROR(__xludf.DUMMYFUNCTION("""COMPUTED_VALUE"""),"New York")</f>
        <v>New York</v>
      </c>
      <c r="E873" s="26" t="str">
        <f>IFERROR(__xludf.DUMMYFUNCTION("""COMPUTED_VALUE"""),"East")</f>
        <v>East</v>
      </c>
      <c r="F873" s="26">
        <f>IFERROR(__xludf.DUMMYFUNCTION("""COMPUTED_VALUE"""),59.52)</f>
        <v>59.52</v>
      </c>
      <c r="G873" s="26">
        <f>IFERROR(__xludf.DUMMYFUNCTION("""COMPUTED_VALUE"""),3.0)</f>
        <v>3</v>
      </c>
      <c r="H873" s="26">
        <f>IFERROR(__xludf.DUMMYFUNCTION("""COMPUTED_VALUE"""),15.4752)</f>
        <v>15.4752</v>
      </c>
    </row>
    <row r="874">
      <c r="A874" s="26" t="str">
        <f>IFERROR(__xludf.DUMMYFUNCTION("""COMPUTED_VALUE"""),"CA-2014-137575")</f>
        <v>CA-2014-137575</v>
      </c>
      <c r="B874" s="27">
        <f>IFERROR(__xludf.DUMMYFUNCTION("""COMPUTED_VALUE"""),41857.0)</f>
        <v>41857</v>
      </c>
      <c r="C874" s="26" t="str">
        <f>IFERROR(__xludf.DUMMYFUNCTION("""COMPUTED_VALUE"""),"Consumer")</f>
        <v>Consumer</v>
      </c>
      <c r="D874" s="26" t="str">
        <f>IFERROR(__xludf.DUMMYFUNCTION("""COMPUTED_VALUE"""),"New York")</f>
        <v>New York</v>
      </c>
      <c r="E874" s="26" t="str">
        <f>IFERROR(__xludf.DUMMYFUNCTION("""COMPUTED_VALUE"""),"East")</f>
        <v>East</v>
      </c>
      <c r="F874" s="26">
        <f>IFERROR(__xludf.DUMMYFUNCTION("""COMPUTED_VALUE"""),199.98)</f>
        <v>199.98</v>
      </c>
      <c r="G874" s="26">
        <f>IFERROR(__xludf.DUMMYFUNCTION("""COMPUTED_VALUE"""),2.0)</f>
        <v>2</v>
      </c>
      <c r="H874" s="26">
        <f>IFERROR(__xludf.DUMMYFUNCTION("""COMPUTED_VALUE"""),83.9916)</f>
        <v>83.9916</v>
      </c>
    </row>
    <row r="875">
      <c r="A875" s="26" t="str">
        <f>IFERROR(__xludf.DUMMYFUNCTION("""COMPUTED_VALUE"""),"CA-2014-151946")</f>
        <v>CA-2014-151946</v>
      </c>
      <c r="B875" s="27">
        <f>IFERROR(__xludf.DUMMYFUNCTION("""COMPUTED_VALUE"""),41794.0)</f>
        <v>41794</v>
      </c>
      <c r="C875" s="26" t="str">
        <f>IFERROR(__xludf.DUMMYFUNCTION("""COMPUTED_VALUE"""),"Consumer")</f>
        <v>Consumer</v>
      </c>
      <c r="D875" s="26" t="str">
        <f>IFERROR(__xludf.DUMMYFUNCTION("""COMPUTED_VALUE"""),"New York")</f>
        <v>New York</v>
      </c>
      <c r="E875" s="26" t="str">
        <f>IFERROR(__xludf.DUMMYFUNCTION("""COMPUTED_VALUE"""),"East")</f>
        <v>East</v>
      </c>
      <c r="F875" s="26">
        <f>IFERROR(__xludf.DUMMYFUNCTION("""COMPUTED_VALUE"""),56.96)</f>
        <v>56.96</v>
      </c>
      <c r="G875" s="26">
        <f>IFERROR(__xludf.DUMMYFUNCTION("""COMPUTED_VALUE"""),2.0)</f>
        <v>2</v>
      </c>
      <c r="H875" s="26">
        <f>IFERROR(__xludf.DUMMYFUNCTION("""COMPUTED_VALUE"""),21.0752)</f>
        <v>21.0752</v>
      </c>
    </row>
    <row r="876">
      <c r="A876" s="26" t="str">
        <f>IFERROR(__xludf.DUMMYFUNCTION("""COMPUTED_VALUE"""),"US-2014-159611")</f>
        <v>US-2014-159611</v>
      </c>
      <c r="B876" s="29">
        <f>IFERROR(__xludf.DUMMYFUNCTION("""COMPUTED_VALUE"""),42000.0)</f>
        <v>42000</v>
      </c>
      <c r="C876" s="26" t="str">
        <f>IFERROR(__xludf.DUMMYFUNCTION("""COMPUTED_VALUE"""),"Consumer")</f>
        <v>Consumer</v>
      </c>
      <c r="D876" s="26" t="str">
        <f>IFERROR(__xludf.DUMMYFUNCTION("""COMPUTED_VALUE"""),"Ohio")</f>
        <v>Ohio</v>
      </c>
      <c r="E876" s="26" t="str">
        <f>IFERROR(__xludf.DUMMYFUNCTION("""COMPUTED_VALUE"""),"East")</f>
        <v>East</v>
      </c>
      <c r="F876" s="26">
        <f>IFERROR(__xludf.DUMMYFUNCTION("""COMPUTED_VALUE"""),182.352)</f>
        <v>182.352</v>
      </c>
      <c r="G876" s="26">
        <f>IFERROR(__xludf.DUMMYFUNCTION("""COMPUTED_VALUE"""),3.0)</f>
        <v>3</v>
      </c>
      <c r="H876" s="26">
        <f>IFERROR(__xludf.DUMMYFUNCTION("""COMPUTED_VALUE"""),-18.2352)</f>
        <v>-18.2352</v>
      </c>
    </row>
    <row r="877">
      <c r="A877" s="26" t="str">
        <f>IFERROR(__xludf.DUMMYFUNCTION("""COMPUTED_VALUE"""),"CA-2014-101427")</f>
        <v>CA-2014-101427</v>
      </c>
      <c r="B877" s="29">
        <f>IFERROR(__xludf.DUMMYFUNCTION("""COMPUTED_VALUE"""),41999.0)</f>
        <v>41999</v>
      </c>
      <c r="C877" s="26" t="str">
        <f>IFERROR(__xludf.DUMMYFUNCTION("""COMPUTED_VALUE"""),"Corporate")</f>
        <v>Corporate</v>
      </c>
      <c r="D877" s="26" t="str">
        <f>IFERROR(__xludf.DUMMYFUNCTION("""COMPUTED_VALUE"""),"Pennsylvania")</f>
        <v>Pennsylvania</v>
      </c>
      <c r="E877" s="26" t="str">
        <f>IFERROR(__xludf.DUMMYFUNCTION("""COMPUTED_VALUE"""),"East")</f>
        <v>East</v>
      </c>
      <c r="F877" s="26">
        <f>IFERROR(__xludf.DUMMYFUNCTION("""COMPUTED_VALUE"""),8.016)</f>
        <v>8.016</v>
      </c>
      <c r="G877" s="26">
        <f>IFERROR(__xludf.DUMMYFUNCTION("""COMPUTED_VALUE"""),3.0)</f>
        <v>3</v>
      </c>
      <c r="H877" s="26">
        <f>IFERROR(__xludf.DUMMYFUNCTION("""COMPUTED_VALUE"""),1.1022)</f>
        <v>1.1022</v>
      </c>
    </row>
    <row r="878">
      <c r="A878" s="26" t="str">
        <f>IFERROR(__xludf.DUMMYFUNCTION("""COMPUTED_VALUE"""),"CA-2014-146815")</f>
        <v>CA-2014-146815</v>
      </c>
      <c r="B878" s="27">
        <f>IFERROR(__xludf.DUMMYFUNCTION("""COMPUTED_VALUE"""),41890.0)</f>
        <v>41890</v>
      </c>
      <c r="C878" s="26" t="str">
        <f>IFERROR(__xludf.DUMMYFUNCTION("""COMPUTED_VALUE"""),"Home Office")</f>
        <v>Home Office</v>
      </c>
      <c r="D878" s="26" t="str">
        <f>IFERROR(__xludf.DUMMYFUNCTION("""COMPUTED_VALUE"""),"New York")</f>
        <v>New York</v>
      </c>
      <c r="E878" s="26" t="str">
        <f>IFERROR(__xludf.DUMMYFUNCTION("""COMPUTED_VALUE"""),"East")</f>
        <v>East</v>
      </c>
      <c r="F878" s="26">
        <f>IFERROR(__xludf.DUMMYFUNCTION("""COMPUTED_VALUE"""),172.764)</f>
        <v>172.764</v>
      </c>
      <c r="G878" s="26">
        <f>IFERROR(__xludf.DUMMYFUNCTION("""COMPUTED_VALUE"""),2.0)</f>
        <v>2</v>
      </c>
      <c r="H878" s="26">
        <f>IFERROR(__xludf.DUMMYFUNCTION("""COMPUTED_VALUE"""),13.4372)</f>
        <v>13.4372</v>
      </c>
    </row>
    <row r="879">
      <c r="A879" s="26" t="str">
        <f>IFERROR(__xludf.DUMMYFUNCTION("""COMPUTED_VALUE"""),"US-2014-169390")</f>
        <v>US-2014-169390</v>
      </c>
      <c r="B879" s="27">
        <f>IFERROR(__xludf.DUMMYFUNCTION("""COMPUTED_VALUE"""),41677.0)</f>
        <v>41677</v>
      </c>
      <c r="C879" s="26" t="str">
        <f>IFERROR(__xludf.DUMMYFUNCTION("""COMPUTED_VALUE"""),"Corporate")</f>
        <v>Corporate</v>
      </c>
      <c r="D879" s="26" t="str">
        <f>IFERROR(__xludf.DUMMYFUNCTION("""COMPUTED_VALUE"""),"New York")</f>
        <v>New York</v>
      </c>
      <c r="E879" s="26" t="str">
        <f>IFERROR(__xludf.DUMMYFUNCTION("""COMPUTED_VALUE"""),"East")</f>
        <v>East</v>
      </c>
      <c r="F879" s="26">
        <f>IFERROR(__xludf.DUMMYFUNCTION("""COMPUTED_VALUE"""),64.96)</f>
        <v>64.96</v>
      </c>
      <c r="G879" s="26">
        <f>IFERROR(__xludf.DUMMYFUNCTION("""COMPUTED_VALUE"""),4.0)</f>
        <v>4</v>
      </c>
      <c r="H879" s="26">
        <f>IFERROR(__xludf.DUMMYFUNCTION("""COMPUTED_VALUE"""),9.744)</f>
        <v>9.744</v>
      </c>
    </row>
    <row r="880">
      <c r="A880" s="26" t="str">
        <f>IFERROR(__xludf.DUMMYFUNCTION("""COMPUTED_VALUE"""),"CA-2014-116666")</f>
        <v>CA-2014-116666</v>
      </c>
      <c r="B880" s="27">
        <f>IFERROR(__xludf.DUMMYFUNCTION("""COMPUTED_VALUE"""),41767.0)</f>
        <v>41767</v>
      </c>
      <c r="C880" s="26" t="str">
        <f>IFERROR(__xludf.DUMMYFUNCTION("""COMPUTED_VALUE"""),"Consumer")</f>
        <v>Consumer</v>
      </c>
      <c r="D880" s="26" t="str">
        <f>IFERROR(__xludf.DUMMYFUNCTION("""COMPUTED_VALUE"""),"Pennsylvania")</f>
        <v>Pennsylvania</v>
      </c>
      <c r="E880" s="26" t="str">
        <f>IFERROR(__xludf.DUMMYFUNCTION("""COMPUTED_VALUE"""),"East")</f>
        <v>East</v>
      </c>
      <c r="F880" s="26">
        <f>IFERROR(__xludf.DUMMYFUNCTION("""COMPUTED_VALUE"""),1799.97)</f>
        <v>1799.97</v>
      </c>
      <c r="G880" s="26">
        <f>IFERROR(__xludf.DUMMYFUNCTION("""COMPUTED_VALUE"""),5.0)</f>
        <v>5</v>
      </c>
      <c r="H880" s="26">
        <f>IFERROR(__xludf.DUMMYFUNCTION("""COMPUTED_VALUE"""),239.996)</f>
        <v>239.996</v>
      </c>
    </row>
    <row r="881">
      <c r="A881" s="26" t="str">
        <f>IFERROR(__xludf.DUMMYFUNCTION("""COMPUTED_VALUE"""),"CA-2014-157644")</f>
        <v>CA-2014-157644</v>
      </c>
      <c r="B881" s="29">
        <f>IFERROR(__xludf.DUMMYFUNCTION("""COMPUTED_VALUE"""),42004.0)</f>
        <v>42004</v>
      </c>
      <c r="C881" s="26" t="str">
        <f>IFERROR(__xludf.DUMMYFUNCTION("""COMPUTED_VALUE"""),"Corporate")</f>
        <v>Corporate</v>
      </c>
      <c r="D881" s="26" t="str">
        <f>IFERROR(__xludf.DUMMYFUNCTION("""COMPUTED_VALUE"""),"New York")</f>
        <v>New York</v>
      </c>
      <c r="E881" s="26" t="str">
        <f>IFERROR(__xludf.DUMMYFUNCTION("""COMPUTED_VALUE"""),"East")</f>
        <v>East</v>
      </c>
      <c r="F881" s="26">
        <f>IFERROR(__xludf.DUMMYFUNCTION("""COMPUTED_VALUE"""),34.77)</f>
        <v>34.77</v>
      </c>
      <c r="G881" s="26">
        <f>IFERROR(__xludf.DUMMYFUNCTION("""COMPUTED_VALUE"""),3.0)</f>
        <v>3</v>
      </c>
      <c r="H881" s="26">
        <f>IFERROR(__xludf.DUMMYFUNCTION("""COMPUTED_VALUE"""),11.4741)</f>
        <v>11.4741</v>
      </c>
    </row>
    <row r="882">
      <c r="A882" s="26" t="str">
        <f>IFERROR(__xludf.DUMMYFUNCTION("""COMPUTED_VALUE"""),"CA-2014-119977")</f>
        <v>CA-2014-119977</v>
      </c>
      <c r="B882" s="27">
        <f>IFERROR(__xludf.DUMMYFUNCTION("""COMPUTED_VALUE"""),41920.0)</f>
        <v>41920</v>
      </c>
      <c r="C882" s="26" t="str">
        <f>IFERROR(__xludf.DUMMYFUNCTION("""COMPUTED_VALUE"""),"Consumer")</f>
        <v>Consumer</v>
      </c>
      <c r="D882" s="26" t="str">
        <f>IFERROR(__xludf.DUMMYFUNCTION("""COMPUTED_VALUE"""),"New York")</f>
        <v>New York</v>
      </c>
      <c r="E882" s="26" t="str">
        <f>IFERROR(__xludf.DUMMYFUNCTION("""COMPUTED_VALUE"""),"East")</f>
        <v>East</v>
      </c>
      <c r="F882" s="26">
        <f>IFERROR(__xludf.DUMMYFUNCTION("""COMPUTED_VALUE"""),123.92)</f>
        <v>123.92</v>
      </c>
      <c r="G882" s="26">
        <f>IFERROR(__xludf.DUMMYFUNCTION("""COMPUTED_VALUE"""),4.0)</f>
        <v>4</v>
      </c>
      <c r="H882" s="26">
        <f>IFERROR(__xludf.DUMMYFUNCTION("""COMPUTED_VALUE"""),55.764)</f>
        <v>55.764</v>
      </c>
    </row>
    <row r="883">
      <c r="A883" s="26" t="str">
        <f>IFERROR(__xludf.DUMMYFUNCTION("""COMPUTED_VALUE"""),"US-2014-105137")</f>
        <v>US-2014-105137</v>
      </c>
      <c r="B883" s="29">
        <f>IFERROR(__xludf.DUMMYFUNCTION("""COMPUTED_VALUE"""),41922.0)</f>
        <v>41922</v>
      </c>
      <c r="C883" s="26" t="str">
        <f>IFERROR(__xludf.DUMMYFUNCTION("""COMPUTED_VALUE"""),"Consumer")</f>
        <v>Consumer</v>
      </c>
      <c r="D883" s="26" t="str">
        <f>IFERROR(__xludf.DUMMYFUNCTION("""COMPUTED_VALUE"""),"Ohio")</f>
        <v>Ohio</v>
      </c>
      <c r="E883" s="26" t="str">
        <f>IFERROR(__xludf.DUMMYFUNCTION("""COMPUTED_VALUE"""),"East")</f>
        <v>East</v>
      </c>
      <c r="F883" s="26">
        <f>IFERROR(__xludf.DUMMYFUNCTION("""COMPUTED_VALUE"""),101.994)</f>
        <v>101.994</v>
      </c>
      <c r="G883" s="26">
        <f>IFERROR(__xludf.DUMMYFUNCTION("""COMPUTED_VALUE"""),2.0)</f>
        <v>2</v>
      </c>
      <c r="H883" s="26">
        <f>IFERROR(__xludf.DUMMYFUNCTION("""COMPUTED_VALUE"""),-71.3958)</f>
        <v>-71.3958</v>
      </c>
    </row>
    <row r="884">
      <c r="A884" s="26" t="str">
        <f>IFERROR(__xludf.DUMMYFUNCTION("""COMPUTED_VALUE"""),"CA-2014-107398")</f>
        <v>CA-2014-107398</v>
      </c>
      <c r="B884" s="27">
        <f>IFERROR(__xludf.DUMMYFUNCTION("""COMPUTED_VALUE"""),41876.0)</f>
        <v>41876</v>
      </c>
      <c r="C884" s="26" t="str">
        <f>IFERROR(__xludf.DUMMYFUNCTION("""COMPUTED_VALUE"""),"Corporate")</f>
        <v>Corporate</v>
      </c>
      <c r="D884" s="26" t="str">
        <f>IFERROR(__xludf.DUMMYFUNCTION("""COMPUTED_VALUE"""),"Ohio")</f>
        <v>Ohio</v>
      </c>
      <c r="E884" s="26" t="str">
        <f>IFERROR(__xludf.DUMMYFUNCTION("""COMPUTED_VALUE"""),"East")</f>
        <v>East</v>
      </c>
      <c r="F884" s="26">
        <f>IFERROR(__xludf.DUMMYFUNCTION("""COMPUTED_VALUE"""),6.528)</f>
        <v>6.528</v>
      </c>
      <c r="G884" s="26">
        <f>IFERROR(__xludf.DUMMYFUNCTION("""COMPUTED_VALUE"""),4.0)</f>
        <v>4</v>
      </c>
      <c r="H884" s="26">
        <f>IFERROR(__xludf.DUMMYFUNCTION("""COMPUTED_VALUE"""),-4.5696)</f>
        <v>-4.5696</v>
      </c>
    </row>
    <row r="885">
      <c r="A885" s="26" t="str">
        <f>IFERROR(__xludf.DUMMYFUNCTION("""COMPUTED_VALUE"""),"CA-2014-132983")</f>
        <v>CA-2014-132983</v>
      </c>
      <c r="B885" s="27">
        <f>IFERROR(__xludf.DUMMYFUNCTION("""COMPUTED_VALUE"""),41757.0)</f>
        <v>41757</v>
      </c>
      <c r="C885" s="26" t="str">
        <f>IFERROR(__xludf.DUMMYFUNCTION("""COMPUTED_VALUE"""),"Corporate")</f>
        <v>Corporate</v>
      </c>
      <c r="D885" s="26" t="str">
        <f>IFERROR(__xludf.DUMMYFUNCTION("""COMPUTED_VALUE"""),"New York")</f>
        <v>New York</v>
      </c>
      <c r="E885" s="26" t="str">
        <f>IFERROR(__xludf.DUMMYFUNCTION("""COMPUTED_VALUE"""),"East")</f>
        <v>East</v>
      </c>
      <c r="F885" s="26">
        <f>IFERROR(__xludf.DUMMYFUNCTION("""COMPUTED_VALUE"""),159.98)</f>
        <v>159.98</v>
      </c>
      <c r="G885" s="26">
        <f>IFERROR(__xludf.DUMMYFUNCTION("""COMPUTED_VALUE"""),2.0)</f>
        <v>2</v>
      </c>
      <c r="H885" s="26">
        <f>IFERROR(__xludf.DUMMYFUNCTION("""COMPUTED_VALUE"""),57.5928)</f>
        <v>57.5928</v>
      </c>
    </row>
    <row r="886">
      <c r="A886" s="26" t="str">
        <f>IFERROR(__xludf.DUMMYFUNCTION("""COMPUTED_VALUE"""),"US-2014-149034")</f>
        <v>US-2014-149034</v>
      </c>
      <c r="B886" s="29">
        <f>IFERROR(__xludf.DUMMYFUNCTION("""COMPUTED_VALUE"""),41962.0)</f>
        <v>41962</v>
      </c>
      <c r="C886" s="26" t="str">
        <f>IFERROR(__xludf.DUMMYFUNCTION("""COMPUTED_VALUE"""),"Consumer")</f>
        <v>Consumer</v>
      </c>
      <c r="D886" s="26" t="str">
        <f>IFERROR(__xludf.DUMMYFUNCTION("""COMPUTED_VALUE"""),"Pennsylvania")</f>
        <v>Pennsylvania</v>
      </c>
      <c r="E886" s="26" t="str">
        <f>IFERROR(__xludf.DUMMYFUNCTION("""COMPUTED_VALUE"""),"East")</f>
        <v>East</v>
      </c>
      <c r="F886" s="26">
        <f>IFERROR(__xludf.DUMMYFUNCTION("""COMPUTED_VALUE"""),47.496)</f>
        <v>47.496</v>
      </c>
      <c r="G886" s="26">
        <f>IFERROR(__xludf.DUMMYFUNCTION("""COMPUTED_VALUE"""),1.0)</f>
        <v>1</v>
      </c>
      <c r="H886" s="26">
        <f>IFERROR(__xludf.DUMMYFUNCTION("""COMPUTED_VALUE"""),-1.1874)</f>
        <v>-1.1874</v>
      </c>
    </row>
    <row r="887">
      <c r="A887" s="26" t="str">
        <f>IFERROR(__xludf.DUMMYFUNCTION("""COMPUTED_VALUE"""),"CA-2014-119529")</f>
        <v>CA-2014-119529</v>
      </c>
      <c r="B887" s="27">
        <f>IFERROR(__xludf.DUMMYFUNCTION("""COMPUTED_VALUE"""),41946.0)</f>
        <v>41946</v>
      </c>
      <c r="C887" s="26" t="str">
        <f>IFERROR(__xludf.DUMMYFUNCTION("""COMPUTED_VALUE"""),"Corporate")</f>
        <v>Corporate</v>
      </c>
      <c r="D887" s="26" t="str">
        <f>IFERROR(__xludf.DUMMYFUNCTION("""COMPUTED_VALUE"""),"New Jersey")</f>
        <v>New Jersey</v>
      </c>
      <c r="E887" s="26" t="str">
        <f>IFERROR(__xludf.DUMMYFUNCTION("""COMPUTED_VALUE"""),"East")</f>
        <v>East</v>
      </c>
      <c r="F887" s="26">
        <f>IFERROR(__xludf.DUMMYFUNCTION("""COMPUTED_VALUE"""),5.76)</f>
        <v>5.76</v>
      </c>
      <c r="G887" s="26">
        <f>IFERROR(__xludf.DUMMYFUNCTION("""COMPUTED_VALUE"""),2.0)</f>
        <v>2</v>
      </c>
      <c r="H887" s="26">
        <f>IFERROR(__xludf.DUMMYFUNCTION("""COMPUTED_VALUE"""),2.8224)</f>
        <v>2.8224</v>
      </c>
    </row>
    <row r="888">
      <c r="A888" s="26" t="str">
        <f>IFERROR(__xludf.DUMMYFUNCTION("""COMPUTED_VALUE"""),"CA-2014-138198")</f>
        <v>CA-2014-138198</v>
      </c>
      <c r="B888" s="27">
        <f>IFERROR(__xludf.DUMMYFUNCTION("""COMPUTED_VALUE"""),41838.0)</f>
        <v>41838</v>
      </c>
      <c r="C888" s="26" t="str">
        <f>IFERROR(__xludf.DUMMYFUNCTION("""COMPUTED_VALUE"""),"Consumer")</f>
        <v>Consumer</v>
      </c>
      <c r="D888" s="26" t="str">
        <f>IFERROR(__xludf.DUMMYFUNCTION("""COMPUTED_VALUE"""),"New York")</f>
        <v>New York</v>
      </c>
      <c r="E888" s="26" t="str">
        <f>IFERROR(__xludf.DUMMYFUNCTION("""COMPUTED_VALUE"""),"East")</f>
        <v>East</v>
      </c>
      <c r="F888" s="26">
        <f>IFERROR(__xludf.DUMMYFUNCTION("""COMPUTED_VALUE"""),13.904)</f>
        <v>13.904</v>
      </c>
      <c r="G888" s="26">
        <f>IFERROR(__xludf.DUMMYFUNCTION("""COMPUTED_VALUE"""),2.0)</f>
        <v>2</v>
      </c>
      <c r="H888" s="26">
        <f>IFERROR(__xludf.DUMMYFUNCTION("""COMPUTED_VALUE"""),4.5188)</f>
        <v>4.5188</v>
      </c>
    </row>
    <row r="889">
      <c r="A889" s="26" t="str">
        <f>IFERROR(__xludf.DUMMYFUNCTION("""COMPUTED_VALUE"""),"CA-2014-124513")</f>
        <v>CA-2014-124513</v>
      </c>
      <c r="B889" s="27">
        <f>IFERROR(__xludf.DUMMYFUNCTION("""COMPUTED_VALUE"""),41903.0)</f>
        <v>41903</v>
      </c>
      <c r="C889" s="26" t="str">
        <f>IFERROR(__xludf.DUMMYFUNCTION("""COMPUTED_VALUE"""),"Home Office")</f>
        <v>Home Office</v>
      </c>
      <c r="D889" s="26" t="str">
        <f>IFERROR(__xludf.DUMMYFUNCTION("""COMPUTED_VALUE"""),"New York")</f>
        <v>New York</v>
      </c>
      <c r="E889" s="26" t="str">
        <f>IFERROR(__xludf.DUMMYFUNCTION("""COMPUTED_VALUE"""),"East")</f>
        <v>East</v>
      </c>
      <c r="F889" s="26">
        <f>IFERROR(__xludf.DUMMYFUNCTION("""COMPUTED_VALUE"""),66.03)</f>
        <v>66.03</v>
      </c>
      <c r="G889" s="26">
        <f>IFERROR(__xludf.DUMMYFUNCTION("""COMPUTED_VALUE"""),3.0)</f>
        <v>3</v>
      </c>
      <c r="H889" s="26">
        <f>IFERROR(__xludf.DUMMYFUNCTION("""COMPUTED_VALUE"""),17.1678)</f>
        <v>17.1678</v>
      </c>
    </row>
    <row r="890">
      <c r="A890" s="26" t="str">
        <f>IFERROR(__xludf.DUMMYFUNCTION("""COMPUTED_VALUE"""),"CA-2014-134215")</f>
        <v>CA-2014-134215</v>
      </c>
      <c r="B890" s="27">
        <f>IFERROR(__xludf.DUMMYFUNCTION("""COMPUTED_VALUE"""),41855.0)</f>
        <v>41855</v>
      </c>
      <c r="C890" s="26" t="str">
        <f>IFERROR(__xludf.DUMMYFUNCTION("""COMPUTED_VALUE"""),"Corporate")</f>
        <v>Corporate</v>
      </c>
      <c r="D890" s="26" t="str">
        <f>IFERROR(__xludf.DUMMYFUNCTION("""COMPUTED_VALUE"""),"Maine")</f>
        <v>Maine</v>
      </c>
      <c r="E890" s="26" t="str">
        <f>IFERROR(__xludf.DUMMYFUNCTION("""COMPUTED_VALUE"""),"East")</f>
        <v>East</v>
      </c>
      <c r="F890" s="26">
        <f>IFERROR(__xludf.DUMMYFUNCTION("""COMPUTED_VALUE"""),101.96)</f>
        <v>101.96</v>
      </c>
      <c r="G890" s="26">
        <f>IFERROR(__xludf.DUMMYFUNCTION("""COMPUTED_VALUE"""),2.0)</f>
        <v>2</v>
      </c>
      <c r="H890" s="26">
        <f>IFERROR(__xludf.DUMMYFUNCTION("""COMPUTED_VALUE"""),27.5292)</f>
        <v>27.5292</v>
      </c>
    </row>
    <row r="891">
      <c r="A891" s="26" t="str">
        <f>IFERROR(__xludf.DUMMYFUNCTION("""COMPUTED_VALUE"""),"CA-2014-163650")</f>
        <v>CA-2014-163650</v>
      </c>
      <c r="B891" s="27">
        <f>IFERROR(__xludf.DUMMYFUNCTION("""COMPUTED_VALUE"""),41905.0)</f>
        <v>41905</v>
      </c>
      <c r="C891" s="26" t="str">
        <f>IFERROR(__xludf.DUMMYFUNCTION("""COMPUTED_VALUE"""),"Consumer")</f>
        <v>Consumer</v>
      </c>
      <c r="D891" s="26" t="str">
        <f>IFERROR(__xludf.DUMMYFUNCTION("""COMPUTED_VALUE"""),"Delaware")</f>
        <v>Delaware</v>
      </c>
      <c r="E891" s="26" t="str">
        <f>IFERROR(__xludf.DUMMYFUNCTION("""COMPUTED_VALUE"""),"East")</f>
        <v>East</v>
      </c>
      <c r="F891" s="26">
        <f>IFERROR(__xludf.DUMMYFUNCTION("""COMPUTED_VALUE"""),9.84)</f>
        <v>9.84</v>
      </c>
      <c r="G891" s="26">
        <f>IFERROR(__xludf.DUMMYFUNCTION("""COMPUTED_VALUE"""),3.0)</f>
        <v>3</v>
      </c>
      <c r="H891" s="26">
        <f>IFERROR(__xludf.DUMMYFUNCTION("""COMPUTED_VALUE"""),2.8536)</f>
        <v>2.8536</v>
      </c>
    </row>
    <row r="892">
      <c r="A892" s="26" t="str">
        <f>IFERROR(__xludf.DUMMYFUNCTION("""COMPUTED_VALUE"""),"CA-2014-108147")</f>
        <v>CA-2014-108147</v>
      </c>
      <c r="B892" s="27">
        <f>IFERROR(__xludf.DUMMYFUNCTION("""COMPUTED_VALUE"""),41798.0)</f>
        <v>41798</v>
      </c>
      <c r="C892" s="26" t="str">
        <f>IFERROR(__xludf.DUMMYFUNCTION("""COMPUTED_VALUE"""),"Consumer")</f>
        <v>Consumer</v>
      </c>
      <c r="D892" s="26" t="str">
        <f>IFERROR(__xludf.DUMMYFUNCTION("""COMPUTED_VALUE"""),"New York")</f>
        <v>New York</v>
      </c>
      <c r="E892" s="26" t="str">
        <f>IFERROR(__xludf.DUMMYFUNCTION("""COMPUTED_VALUE"""),"East")</f>
        <v>East</v>
      </c>
      <c r="F892" s="26">
        <f>IFERROR(__xludf.DUMMYFUNCTION("""COMPUTED_VALUE"""),68.48)</f>
        <v>68.48</v>
      </c>
      <c r="G892" s="26">
        <f>IFERROR(__xludf.DUMMYFUNCTION("""COMPUTED_VALUE"""),2.0)</f>
        <v>2</v>
      </c>
      <c r="H892" s="26">
        <f>IFERROR(__xludf.DUMMYFUNCTION("""COMPUTED_VALUE"""),25.68)</f>
        <v>25.68</v>
      </c>
    </row>
    <row r="893">
      <c r="A893" s="26" t="str">
        <f>IFERROR(__xludf.DUMMYFUNCTION("""COMPUTED_VALUE"""),"CA-2014-125997")</f>
        <v>CA-2014-125997</v>
      </c>
      <c r="B893" s="27">
        <f>IFERROR(__xludf.DUMMYFUNCTION("""COMPUTED_VALUE"""),41902.0)</f>
        <v>41902</v>
      </c>
      <c r="C893" s="26" t="str">
        <f>IFERROR(__xludf.DUMMYFUNCTION("""COMPUTED_VALUE"""),"Consumer")</f>
        <v>Consumer</v>
      </c>
      <c r="D893" s="26" t="str">
        <f>IFERROR(__xludf.DUMMYFUNCTION("""COMPUTED_VALUE"""),"New York")</f>
        <v>New York</v>
      </c>
      <c r="E893" s="26" t="str">
        <f>IFERROR(__xludf.DUMMYFUNCTION("""COMPUTED_VALUE"""),"East")</f>
        <v>East</v>
      </c>
      <c r="F893" s="26">
        <f>IFERROR(__xludf.DUMMYFUNCTION("""COMPUTED_VALUE"""),629.95)</f>
        <v>629.95</v>
      </c>
      <c r="G893" s="26">
        <f>IFERROR(__xludf.DUMMYFUNCTION("""COMPUTED_VALUE"""),5.0)</f>
        <v>5</v>
      </c>
      <c r="H893" s="26">
        <f>IFERROR(__xludf.DUMMYFUNCTION("""COMPUTED_VALUE"""),157.4875)</f>
        <v>157.4875</v>
      </c>
    </row>
    <row r="894">
      <c r="A894" s="26" t="str">
        <f>IFERROR(__xludf.DUMMYFUNCTION("""COMPUTED_VALUE"""),"CA-2014-116246")</f>
        <v>CA-2014-116246</v>
      </c>
      <c r="B894" s="27">
        <f>IFERROR(__xludf.DUMMYFUNCTION("""COMPUTED_VALUE"""),41894.0)</f>
        <v>41894</v>
      </c>
      <c r="C894" s="26" t="str">
        <f>IFERROR(__xludf.DUMMYFUNCTION("""COMPUTED_VALUE"""),"Consumer")</f>
        <v>Consumer</v>
      </c>
      <c r="D894" s="26" t="str">
        <f>IFERROR(__xludf.DUMMYFUNCTION("""COMPUTED_VALUE"""),"New York")</f>
        <v>New York</v>
      </c>
      <c r="E894" s="26" t="str">
        <f>IFERROR(__xludf.DUMMYFUNCTION("""COMPUTED_VALUE"""),"East")</f>
        <v>East</v>
      </c>
      <c r="F894" s="26">
        <f>IFERROR(__xludf.DUMMYFUNCTION("""COMPUTED_VALUE"""),3785.292)</f>
        <v>3785.292</v>
      </c>
      <c r="G894" s="26">
        <f>IFERROR(__xludf.DUMMYFUNCTION("""COMPUTED_VALUE"""),6.0)</f>
        <v>6</v>
      </c>
      <c r="H894" s="26">
        <f>IFERROR(__xludf.DUMMYFUNCTION("""COMPUTED_VALUE"""),420.588)</f>
        <v>420.588</v>
      </c>
    </row>
    <row r="895">
      <c r="A895" s="26" t="str">
        <f>IFERROR(__xludf.DUMMYFUNCTION("""COMPUTED_VALUE"""),"CA-2014-167486")</f>
        <v>CA-2014-167486</v>
      </c>
      <c r="B895" s="29">
        <f>IFERROR(__xludf.DUMMYFUNCTION("""COMPUTED_VALUE"""),41970.0)</f>
        <v>41970</v>
      </c>
      <c r="C895" s="26" t="str">
        <f>IFERROR(__xludf.DUMMYFUNCTION("""COMPUTED_VALUE"""),"Corporate")</f>
        <v>Corporate</v>
      </c>
      <c r="D895" s="26" t="str">
        <f>IFERROR(__xludf.DUMMYFUNCTION("""COMPUTED_VALUE"""),"New York")</f>
        <v>New York</v>
      </c>
      <c r="E895" s="26" t="str">
        <f>IFERROR(__xludf.DUMMYFUNCTION("""COMPUTED_VALUE"""),"East")</f>
        <v>East</v>
      </c>
      <c r="F895" s="26">
        <f>IFERROR(__xludf.DUMMYFUNCTION("""COMPUTED_VALUE"""),199.9)</f>
        <v>199.9</v>
      </c>
      <c r="G895" s="26">
        <f>IFERROR(__xludf.DUMMYFUNCTION("""COMPUTED_VALUE"""),5.0)</f>
        <v>5</v>
      </c>
      <c r="H895" s="26">
        <f>IFERROR(__xludf.DUMMYFUNCTION("""COMPUTED_VALUE"""),39.98)</f>
        <v>39.98</v>
      </c>
    </row>
    <row r="896">
      <c r="A896" s="26" t="str">
        <f>IFERROR(__xludf.DUMMYFUNCTION("""COMPUTED_VALUE"""),"CA-2014-100391")</f>
        <v>CA-2014-100391</v>
      </c>
      <c r="B896" s="27">
        <f>IFERROR(__xludf.DUMMYFUNCTION("""COMPUTED_VALUE"""),41784.0)</f>
        <v>41784</v>
      </c>
      <c r="C896" s="26" t="str">
        <f>IFERROR(__xludf.DUMMYFUNCTION("""COMPUTED_VALUE"""),"Consumer")</f>
        <v>Consumer</v>
      </c>
      <c r="D896" s="26" t="str">
        <f>IFERROR(__xludf.DUMMYFUNCTION("""COMPUTED_VALUE"""),"New York")</f>
        <v>New York</v>
      </c>
      <c r="E896" s="26" t="str">
        <f>IFERROR(__xludf.DUMMYFUNCTION("""COMPUTED_VALUE"""),"East")</f>
        <v>East</v>
      </c>
      <c r="F896" s="26">
        <f>IFERROR(__xludf.DUMMYFUNCTION("""COMPUTED_VALUE"""),14.62)</f>
        <v>14.62</v>
      </c>
      <c r="G896" s="26">
        <f>IFERROR(__xludf.DUMMYFUNCTION("""COMPUTED_VALUE"""),2.0)</f>
        <v>2</v>
      </c>
      <c r="H896" s="26">
        <f>IFERROR(__xludf.DUMMYFUNCTION("""COMPUTED_VALUE"""),6.7252)</f>
        <v>6.7252</v>
      </c>
    </row>
    <row r="897">
      <c r="A897" s="26" t="str">
        <f>IFERROR(__xludf.DUMMYFUNCTION("""COMPUTED_VALUE"""),"CA-2014-165477")</f>
        <v>CA-2014-165477</v>
      </c>
      <c r="B897" s="29">
        <f>IFERROR(__xludf.DUMMYFUNCTION("""COMPUTED_VALUE"""),42002.0)</f>
        <v>42002</v>
      </c>
      <c r="C897" s="26" t="str">
        <f>IFERROR(__xludf.DUMMYFUNCTION("""COMPUTED_VALUE"""),"Consumer")</f>
        <v>Consumer</v>
      </c>
      <c r="D897" s="26" t="str">
        <f>IFERROR(__xludf.DUMMYFUNCTION("""COMPUTED_VALUE"""),"Ohio")</f>
        <v>Ohio</v>
      </c>
      <c r="E897" s="26" t="str">
        <f>IFERROR(__xludf.DUMMYFUNCTION("""COMPUTED_VALUE"""),"East")</f>
        <v>East</v>
      </c>
      <c r="F897" s="26">
        <f>IFERROR(__xludf.DUMMYFUNCTION("""COMPUTED_VALUE"""),48.36)</f>
        <v>48.36</v>
      </c>
      <c r="G897" s="26">
        <f>IFERROR(__xludf.DUMMYFUNCTION("""COMPUTED_VALUE"""),5.0)</f>
        <v>5</v>
      </c>
      <c r="H897" s="26">
        <f>IFERROR(__xludf.DUMMYFUNCTION("""COMPUTED_VALUE"""),6.045)</f>
        <v>6.045</v>
      </c>
    </row>
    <row r="898">
      <c r="A898" s="26" t="str">
        <f>IFERROR(__xludf.DUMMYFUNCTION("""COMPUTED_VALUE"""),"CA-2014-101833")</f>
        <v>CA-2014-101833</v>
      </c>
      <c r="B898" s="29">
        <f>IFERROR(__xludf.DUMMYFUNCTION("""COMPUTED_VALUE"""),41960.0)</f>
        <v>41960</v>
      </c>
      <c r="C898" s="26" t="str">
        <f>IFERROR(__xludf.DUMMYFUNCTION("""COMPUTED_VALUE"""),"Home Office")</f>
        <v>Home Office</v>
      </c>
      <c r="D898" s="26" t="str">
        <f>IFERROR(__xludf.DUMMYFUNCTION("""COMPUTED_VALUE"""),"New York")</f>
        <v>New York</v>
      </c>
      <c r="E898" s="26" t="str">
        <f>IFERROR(__xludf.DUMMYFUNCTION("""COMPUTED_VALUE"""),"East")</f>
        <v>East</v>
      </c>
      <c r="F898" s="26">
        <f>IFERROR(__xludf.DUMMYFUNCTION("""COMPUTED_VALUE"""),34.44)</f>
        <v>34.44</v>
      </c>
      <c r="G898" s="26">
        <f>IFERROR(__xludf.DUMMYFUNCTION("""COMPUTED_VALUE"""),3.0)</f>
        <v>3</v>
      </c>
      <c r="H898" s="26">
        <f>IFERROR(__xludf.DUMMYFUNCTION("""COMPUTED_VALUE"""),17.22)</f>
        <v>17.22</v>
      </c>
    </row>
    <row r="899">
      <c r="A899" s="26" t="str">
        <f>IFERROR(__xludf.DUMMYFUNCTION("""COMPUTED_VALUE"""),"CA-2014-156545")</f>
        <v>CA-2014-156545</v>
      </c>
      <c r="B899" s="27">
        <f>IFERROR(__xludf.DUMMYFUNCTION("""COMPUTED_VALUE"""),41697.0)</f>
        <v>41697</v>
      </c>
      <c r="C899" s="26" t="str">
        <f>IFERROR(__xludf.DUMMYFUNCTION("""COMPUTED_VALUE"""),"Consumer")</f>
        <v>Consumer</v>
      </c>
      <c r="D899" s="26" t="str">
        <f>IFERROR(__xludf.DUMMYFUNCTION("""COMPUTED_VALUE"""),"Ohio")</f>
        <v>Ohio</v>
      </c>
      <c r="E899" s="26" t="str">
        <f>IFERROR(__xludf.DUMMYFUNCTION("""COMPUTED_VALUE"""),"East")</f>
        <v>East</v>
      </c>
      <c r="F899" s="26">
        <f>IFERROR(__xludf.DUMMYFUNCTION("""COMPUTED_VALUE"""),19.456)</f>
        <v>19.456</v>
      </c>
      <c r="G899" s="26">
        <f>IFERROR(__xludf.DUMMYFUNCTION("""COMPUTED_VALUE"""),4.0)</f>
        <v>4</v>
      </c>
      <c r="H899" s="26">
        <f>IFERROR(__xludf.DUMMYFUNCTION("""COMPUTED_VALUE"""),3.4048)</f>
        <v>3.4048</v>
      </c>
    </row>
    <row r="900">
      <c r="A900" s="26" t="str">
        <f>IFERROR(__xludf.DUMMYFUNCTION("""COMPUTED_VALUE"""),"CA-2014-109127")</f>
        <v>CA-2014-109127</v>
      </c>
      <c r="B900" s="29">
        <f>IFERROR(__xludf.DUMMYFUNCTION("""COMPUTED_VALUE"""),41994.0)</f>
        <v>41994</v>
      </c>
      <c r="C900" s="26" t="str">
        <f>IFERROR(__xludf.DUMMYFUNCTION("""COMPUTED_VALUE"""),"Consumer")</f>
        <v>Consumer</v>
      </c>
      <c r="D900" s="26" t="str">
        <f>IFERROR(__xludf.DUMMYFUNCTION("""COMPUTED_VALUE"""),"Delaware")</f>
        <v>Delaware</v>
      </c>
      <c r="E900" s="26" t="str">
        <f>IFERROR(__xludf.DUMMYFUNCTION("""COMPUTED_VALUE"""),"East")</f>
        <v>East</v>
      </c>
      <c r="F900" s="26">
        <f>IFERROR(__xludf.DUMMYFUNCTION("""COMPUTED_VALUE"""),17.28)</f>
        <v>17.28</v>
      </c>
      <c r="G900" s="26">
        <f>IFERROR(__xludf.DUMMYFUNCTION("""COMPUTED_VALUE"""),6.0)</f>
        <v>6</v>
      </c>
      <c r="H900" s="26">
        <f>IFERROR(__xludf.DUMMYFUNCTION("""COMPUTED_VALUE"""),7.9488)</f>
        <v>7.9488</v>
      </c>
    </row>
    <row r="901">
      <c r="A901" s="26" t="str">
        <f>IFERROR(__xludf.DUMMYFUNCTION("""COMPUTED_VALUE"""),"CA-2014-115133")</f>
        <v>CA-2014-115133</v>
      </c>
      <c r="B901" s="27">
        <f>IFERROR(__xludf.DUMMYFUNCTION("""COMPUTED_VALUE"""),41908.0)</f>
        <v>41908</v>
      </c>
      <c r="C901" s="26" t="str">
        <f>IFERROR(__xludf.DUMMYFUNCTION("""COMPUTED_VALUE"""),"Home Office")</f>
        <v>Home Office</v>
      </c>
      <c r="D901" s="26" t="str">
        <f>IFERROR(__xludf.DUMMYFUNCTION("""COMPUTED_VALUE"""),"Ohio")</f>
        <v>Ohio</v>
      </c>
      <c r="E901" s="26" t="str">
        <f>IFERROR(__xludf.DUMMYFUNCTION("""COMPUTED_VALUE"""),"East")</f>
        <v>East</v>
      </c>
      <c r="F901" s="26">
        <f>IFERROR(__xludf.DUMMYFUNCTION("""COMPUTED_VALUE"""),16.704)</f>
        <v>16.704</v>
      </c>
      <c r="G901" s="26">
        <f>IFERROR(__xludf.DUMMYFUNCTION("""COMPUTED_VALUE"""),6.0)</f>
        <v>6</v>
      </c>
      <c r="H901" s="26">
        <f>IFERROR(__xludf.DUMMYFUNCTION("""COMPUTED_VALUE"""),1.2528)</f>
        <v>1.2528</v>
      </c>
    </row>
    <row r="902">
      <c r="A902" s="26" t="str">
        <f>IFERROR(__xludf.DUMMYFUNCTION("""COMPUTED_VALUE"""),"CA-2014-118192")</f>
        <v>CA-2014-118192</v>
      </c>
      <c r="B902" s="27">
        <f>IFERROR(__xludf.DUMMYFUNCTION("""COMPUTED_VALUE"""),41652.0)</f>
        <v>41652</v>
      </c>
      <c r="C902" s="26" t="str">
        <f>IFERROR(__xludf.DUMMYFUNCTION("""COMPUTED_VALUE"""),"Consumer")</f>
        <v>Consumer</v>
      </c>
      <c r="D902" s="26" t="str">
        <f>IFERROR(__xludf.DUMMYFUNCTION("""COMPUTED_VALUE"""),"Ohio")</f>
        <v>Ohio</v>
      </c>
      <c r="E902" s="26" t="str">
        <f>IFERROR(__xludf.DUMMYFUNCTION("""COMPUTED_VALUE"""),"East")</f>
        <v>East</v>
      </c>
      <c r="F902" s="26">
        <f>IFERROR(__xludf.DUMMYFUNCTION("""COMPUTED_VALUE"""),37.408)</f>
        <v>37.408</v>
      </c>
      <c r="G902" s="26">
        <f>IFERROR(__xludf.DUMMYFUNCTION("""COMPUTED_VALUE"""),7.0)</f>
        <v>7</v>
      </c>
      <c r="H902" s="26">
        <f>IFERROR(__xludf.DUMMYFUNCTION("""COMPUTED_VALUE"""),13.0928)</f>
        <v>13.0928</v>
      </c>
    </row>
    <row r="903">
      <c r="A903" s="26" t="str">
        <f>IFERROR(__xludf.DUMMYFUNCTION("""COMPUTED_VALUE"""),"CA-2014-151330")</f>
        <v>CA-2014-151330</v>
      </c>
      <c r="B903" s="29">
        <f>IFERROR(__xludf.DUMMYFUNCTION("""COMPUTED_VALUE"""),41926.0)</f>
        <v>41926</v>
      </c>
      <c r="C903" s="26" t="str">
        <f>IFERROR(__xludf.DUMMYFUNCTION("""COMPUTED_VALUE"""),"Consumer")</f>
        <v>Consumer</v>
      </c>
      <c r="D903" s="26" t="str">
        <f>IFERROR(__xludf.DUMMYFUNCTION("""COMPUTED_VALUE"""),"Massachusetts")</f>
        <v>Massachusetts</v>
      </c>
      <c r="E903" s="26" t="str">
        <f>IFERROR(__xludf.DUMMYFUNCTION("""COMPUTED_VALUE"""),"East")</f>
        <v>East</v>
      </c>
      <c r="F903" s="26">
        <f>IFERROR(__xludf.DUMMYFUNCTION("""COMPUTED_VALUE"""),177.0)</f>
        <v>177</v>
      </c>
      <c r="G903" s="26">
        <f>IFERROR(__xludf.DUMMYFUNCTION("""COMPUTED_VALUE"""),3.0)</f>
        <v>3</v>
      </c>
      <c r="H903" s="26">
        <f>IFERROR(__xludf.DUMMYFUNCTION("""COMPUTED_VALUE"""),30.09)</f>
        <v>30.09</v>
      </c>
    </row>
    <row r="904">
      <c r="A904" s="26" t="str">
        <f>IFERROR(__xludf.DUMMYFUNCTION("""COMPUTED_VALUE"""),"CA-2014-156160")</f>
        <v>CA-2014-156160</v>
      </c>
      <c r="B904" s="27">
        <f>IFERROR(__xludf.DUMMYFUNCTION("""COMPUTED_VALUE"""),41904.0)</f>
        <v>41904</v>
      </c>
      <c r="C904" s="26" t="str">
        <f>IFERROR(__xludf.DUMMYFUNCTION("""COMPUTED_VALUE"""),"Consumer")</f>
        <v>Consumer</v>
      </c>
      <c r="D904" s="26" t="str">
        <f>IFERROR(__xludf.DUMMYFUNCTION("""COMPUTED_VALUE"""),"New York")</f>
        <v>New York</v>
      </c>
      <c r="E904" s="26" t="str">
        <f>IFERROR(__xludf.DUMMYFUNCTION("""COMPUTED_VALUE"""),"East")</f>
        <v>East</v>
      </c>
      <c r="F904" s="26">
        <f>IFERROR(__xludf.DUMMYFUNCTION("""COMPUTED_VALUE"""),97.44)</f>
        <v>97.44</v>
      </c>
      <c r="G904" s="26">
        <f>IFERROR(__xludf.DUMMYFUNCTION("""COMPUTED_VALUE"""),3.0)</f>
        <v>3</v>
      </c>
      <c r="H904" s="26">
        <f>IFERROR(__xludf.DUMMYFUNCTION("""COMPUTED_VALUE"""),35.0784)</f>
        <v>35.0784</v>
      </c>
    </row>
    <row r="905">
      <c r="A905" s="26" t="str">
        <f>IFERROR(__xludf.DUMMYFUNCTION("""COMPUTED_VALUE"""),"CA-2014-114251")</f>
        <v>CA-2014-114251</v>
      </c>
      <c r="B905" s="27">
        <f>IFERROR(__xludf.DUMMYFUNCTION("""COMPUTED_VALUE"""),41948.0)</f>
        <v>41948</v>
      </c>
      <c r="C905" s="26" t="str">
        <f>IFERROR(__xludf.DUMMYFUNCTION("""COMPUTED_VALUE"""),"Consumer")</f>
        <v>Consumer</v>
      </c>
      <c r="D905" s="26" t="str">
        <f>IFERROR(__xludf.DUMMYFUNCTION("""COMPUTED_VALUE"""),"Pennsylvania")</f>
        <v>Pennsylvania</v>
      </c>
      <c r="E905" s="26" t="str">
        <f>IFERROR(__xludf.DUMMYFUNCTION("""COMPUTED_VALUE"""),"East")</f>
        <v>East</v>
      </c>
      <c r="F905" s="26">
        <f>IFERROR(__xludf.DUMMYFUNCTION("""COMPUTED_VALUE"""),273.568)</f>
        <v>273.568</v>
      </c>
      <c r="G905" s="26">
        <f>IFERROR(__xludf.DUMMYFUNCTION("""COMPUTED_VALUE"""),2.0)</f>
        <v>2</v>
      </c>
      <c r="H905" s="26">
        <f>IFERROR(__xludf.DUMMYFUNCTION("""COMPUTED_VALUE"""),-34.196)</f>
        <v>-34.196</v>
      </c>
    </row>
    <row r="906">
      <c r="A906" s="26" t="str">
        <f>IFERROR(__xludf.DUMMYFUNCTION("""COMPUTED_VALUE"""),"CA-2014-101364")</f>
        <v>CA-2014-101364</v>
      </c>
      <c r="B906" s="29">
        <f>IFERROR(__xludf.DUMMYFUNCTION("""COMPUTED_VALUE"""),41995.0)</f>
        <v>41995</v>
      </c>
      <c r="C906" s="26" t="str">
        <f>IFERROR(__xludf.DUMMYFUNCTION("""COMPUTED_VALUE"""),"Home Office")</f>
        <v>Home Office</v>
      </c>
      <c r="D906" s="26" t="str">
        <f>IFERROR(__xludf.DUMMYFUNCTION("""COMPUTED_VALUE"""),"New York")</f>
        <v>New York</v>
      </c>
      <c r="E906" s="26" t="str">
        <f>IFERROR(__xludf.DUMMYFUNCTION("""COMPUTED_VALUE"""),"East")</f>
        <v>East</v>
      </c>
      <c r="F906" s="26">
        <f>IFERROR(__xludf.DUMMYFUNCTION("""COMPUTED_VALUE"""),296.712)</f>
        <v>296.712</v>
      </c>
      <c r="G906" s="26">
        <f>IFERROR(__xludf.DUMMYFUNCTION("""COMPUTED_VALUE"""),13.0)</f>
        <v>13</v>
      </c>
      <c r="H906" s="26">
        <f>IFERROR(__xludf.DUMMYFUNCTION("""COMPUTED_VALUE"""),100.1403)</f>
        <v>100.1403</v>
      </c>
    </row>
    <row r="907">
      <c r="A907" s="26" t="str">
        <f>IFERROR(__xludf.DUMMYFUNCTION("""COMPUTED_VALUE"""),"CA-2014-128062")</f>
        <v>CA-2014-128062</v>
      </c>
      <c r="B907" s="29">
        <f>IFERROR(__xludf.DUMMYFUNCTION("""COMPUTED_VALUE"""),41962.0)</f>
        <v>41962</v>
      </c>
      <c r="C907" s="26" t="str">
        <f>IFERROR(__xludf.DUMMYFUNCTION("""COMPUTED_VALUE"""),"Home Office")</f>
        <v>Home Office</v>
      </c>
      <c r="D907" s="26" t="str">
        <f>IFERROR(__xludf.DUMMYFUNCTION("""COMPUTED_VALUE"""),"Pennsylvania")</f>
        <v>Pennsylvania</v>
      </c>
      <c r="E907" s="26" t="str">
        <f>IFERROR(__xludf.DUMMYFUNCTION("""COMPUTED_VALUE"""),"East")</f>
        <v>East</v>
      </c>
      <c r="F907" s="26">
        <f>IFERROR(__xludf.DUMMYFUNCTION("""COMPUTED_VALUE"""),5.88)</f>
        <v>5.88</v>
      </c>
      <c r="G907" s="26">
        <f>IFERROR(__xludf.DUMMYFUNCTION("""COMPUTED_VALUE"""),1.0)</f>
        <v>1</v>
      </c>
      <c r="H907" s="26">
        <f>IFERROR(__xludf.DUMMYFUNCTION("""COMPUTED_VALUE"""),1.9845)</f>
        <v>1.9845</v>
      </c>
    </row>
    <row r="908">
      <c r="A908" s="26" t="str">
        <f>IFERROR(__xludf.DUMMYFUNCTION("""COMPUTED_VALUE"""),"CA-2014-114195")</f>
        <v>CA-2014-114195</v>
      </c>
      <c r="B908" s="27">
        <f>IFERROR(__xludf.DUMMYFUNCTION("""COMPUTED_VALUE"""),41944.0)</f>
        <v>41944</v>
      </c>
      <c r="C908" s="26" t="str">
        <f>IFERROR(__xludf.DUMMYFUNCTION("""COMPUTED_VALUE"""),"Corporate")</f>
        <v>Corporate</v>
      </c>
      <c r="D908" s="26" t="str">
        <f>IFERROR(__xludf.DUMMYFUNCTION("""COMPUTED_VALUE"""),"Ohio")</f>
        <v>Ohio</v>
      </c>
      <c r="E908" s="26" t="str">
        <f>IFERROR(__xludf.DUMMYFUNCTION("""COMPUTED_VALUE"""),"East")</f>
        <v>East</v>
      </c>
      <c r="F908" s="26">
        <f>IFERROR(__xludf.DUMMYFUNCTION("""COMPUTED_VALUE"""),68.704)</f>
        <v>68.704</v>
      </c>
      <c r="G908" s="26">
        <f>IFERROR(__xludf.DUMMYFUNCTION("""COMPUTED_VALUE"""),2.0)</f>
        <v>2</v>
      </c>
      <c r="H908" s="26">
        <f>IFERROR(__xludf.DUMMYFUNCTION("""COMPUTED_VALUE"""),16.3172)</f>
        <v>16.3172</v>
      </c>
    </row>
    <row r="909">
      <c r="A909" s="26" t="str">
        <f>IFERROR(__xludf.DUMMYFUNCTION("""COMPUTED_VALUE"""),"US-2014-117380")</f>
        <v>US-2014-117380</v>
      </c>
      <c r="B909" s="27">
        <f>IFERROR(__xludf.DUMMYFUNCTION("""COMPUTED_VALUE"""),41726.0)</f>
        <v>41726</v>
      </c>
      <c r="C909" s="26" t="str">
        <f>IFERROR(__xludf.DUMMYFUNCTION("""COMPUTED_VALUE"""),"Home Office")</f>
        <v>Home Office</v>
      </c>
      <c r="D909" s="26" t="str">
        <f>IFERROR(__xludf.DUMMYFUNCTION("""COMPUTED_VALUE"""),"Ohio")</f>
        <v>Ohio</v>
      </c>
      <c r="E909" s="26" t="str">
        <f>IFERROR(__xludf.DUMMYFUNCTION("""COMPUTED_VALUE"""),"East")</f>
        <v>East</v>
      </c>
      <c r="F909" s="26">
        <f>IFERROR(__xludf.DUMMYFUNCTION("""COMPUTED_VALUE"""),330.588)</f>
        <v>330.588</v>
      </c>
      <c r="G909" s="26">
        <f>IFERROR(__xludf.DUMMYFUNCTION("""COMPUTED_VALUE"""),1.0)</f>
        <v>1</v>
      </c>
      <c r="H909" s="26">
        <f>IFERROR(__xludf.DUMMYFUNCTION("""COMPUTED_VALUE"""),-143.2548)</f>
        <v>-143.2548</v>
      </c>
    </row>
    <row r="910">
      <c r="A910" s="26" t="str">
        <f>IFERROR(__xludf.DUMMYFUNCTION("""COMPUTED_VALUE"""),"CA-2014-111360")</f>
        <v>CA-2014-111360</v>
      </c>
      <c r="B910" s="29">
        <f>IFERROR(__xludf.DUMMYFUNCTION("""COMPUTED_VALUE"""),41967.0)</f>
        <v>41967</v>
      </c>
      <c r="C910" s="26" t="str">
        <f>IFERROR(__xludf.DUMMYFUNCTION("""COMPUTED_VALUE"""),"Home Office")</f>
        <v>Home Office</v>
      </c>
      <c r="D910" s="26" t="str">
        <f>IFERROR(__xludf.DUMMYFUNCTION("""COMPUTED_VALUE"""),"Ohio")</f>
        <v>Ohio</v>
      </c>
      <c r="E910" s="26" t="str">
        <f>IFERROR(__xludf.DUMMYFUNCTION("""COMPUTED_VALUE"""),"East")</f>
        <v>East</v>
      </c>
      <c r="F910" s="26">
        <f>IFERROR(__xludf.DUMMYFUNCTION("""COMPUTED_VALUE"""),5.742)</f>
        <v>5.742</v>
      </c>
      <c r="G910" s="26">
        <f>IFERROR(__xludf.DUMMYFUNCTION("""COMPUTED_VALUE"""),3.0)</f>
        <v>3</v>
      </c>
      <c r="H910" s="26">
        <f>IFERROR(__xludf.DUMMYFUNCTION("""COMPUTED_VALUE"""),-4.5936)</f>
        <v>-4.5936</v>
      </c>
    </row>
    <row r="911">
      <c r="A911" s="26" t="str">
        <f>IFERROR(__xludf.DUMMYFUNCTION("""COMPUTED_VALUE"""),"CA-2014-166555")</f>
        <v>CA-2014-166555</v>
      </c>
      <c r="B911" s="27">
        <f>IFERROR(__xludf.DUMMYFUNCTION("""COMPUTED_VALUE"""),41831.0)</f>
        <v>41831</v>
      </c>
      <c r="C911" s="26" t="str">
        <f>IFERROR(__xludf.DUMMYFUNCTION("""COMPUTED_VALUE"""),"Consumer")</f>
        <v>Consumer</v>
      </c>
      <c r="D911" s="26" t="str">
        <f>IFERROR(__xludf.DUMMYFUNCTION("""COMPUTED_VALUE"""),"New York")</f>
        <v>New York</v>
      </c>
      <c r="E911" s="26" t="str">
        <f>IFERROR(__xludf.DUMMYFUNCTION("""COMPUTED_VALUE"""),"East")</f>
        <v>East</v>
      </c>
      <c r="F911" s="26">
        <f>IFERROR(__xludf.DUMMYFUNCTION("""COMPUTED_VALUE"""),164.85)</f>
        <v>164.85</v>
      </c>
      <c r="G911" s="26">
        <f>IFERROR(__xludf.DUMMYFUNCTION("""COMPUTED_VALUE"""),3.0)</f>
        <v>3</v>
      </c>
      <c r="H911" s="26">
        <f>IFERROR(__xludf.DUMMYFUNCTION("""COMPUTED_VALUE"""),47.8065)</f>
        <v>47.8065</v>
      </c>
    </row>
    <row r="912">
      <c r="A912" s="26" t="str">
        <f>IFERROR(__xludf.DUMMYFUNCTION("""COMPUTED_VALUE"""),"CA-2014-111157")</f>
        <v>CA-2014-111157</v>
      </c>
      <c r="B912" s="27">
        <f>IFERROR(__xludf.DUMMYFUNCTION("""COMPUTED_VALUE"""),41700.0)</f>
        <v>41700</v>
      </c>
      <c r="C912" s="26" t="str">
        <f>IFERROR(__xludf.DUMMYFUNCTION("""COMPUTED_VALUE"""),"Corporate")</f>
        <v>Corporate</v>
      </c>
      <c r="D912" s="26" t="str">
        <f>IFERROR(__xludf.DUMMYFUNCTION("""COMPUTED_VALUE"""),"Pennsylvania")</f>
        <v>Pennsylvania</v>
      </c>
      <c r="E912" s="26" t="str">
        <f>IFERROR(__xludf.DUMMYFUNCTION("""COMPUTED_VALUE"""),"East")</f>
        <v>East</v>
      </c>
      <c r="F912" s="26">
        <f>IFERROR(__xludf.DUMMYFUNCTION("""COMPUTED_VALUE"""),3.424)</f>
        <v>3.424</v>
      </c>
      <c r="G912" s="26">
        <f>IFERROR(__xludf.DUMMYFUNCTION("""COMPUTED_VALUE"""),1.0)</f>
        <v>1</v>
      </c>
      <c r="H912" s="26">
        <f>IFERROR(__xludf.DUMMYFUNCTION("""COMPUTED_VALUE"""),1.07)</f>
        <v>1.07</v>
      </c>
    </row>
    <row r="913">
      <c r="A913" s="26" t="str">
        <f>IFERROR(__xludf.DUMMYFUNCTION("""COMPUTED_VALUE"""),"US-2014-143287")</f>
        <v>US-2014-143287</v>
      </c>
      <c r="B913" s="29">
        <f>IFERROR(__xludf.DUMMYFUNCTION("""COMPUTED_VALUE"""),41954.0)</f>
        <v>41954</v>
      </c>
      <c r="C913" s="26" t="str">
        <f>IFERROR(__xludf.DUMMYFUNCTION("""COMPUTED_VALUE"""),"Home Office")</f>
        <v>Home Office</v>
      </c>
      <c r="D913" s="26" t="str">
        <f>IFERROR(__xludf.DUMMYFUNCTION("""COMPUTED_VALUE"""),"New York")</f>
        <v>New York</v>
      </c>
      <c r="E913" s="26" t="str">
        <f>IFERROR(__xludf.DUMMYFUNCTION("""COMPUTED_VALUE"""),"East")</f>
        <v>East</v>
      </c>
      <c r="F913" s="26">
        <f>IFERROR(__xludf.DUMMYFUNCTION("""COMPUTED_VALUE"""),46.35)</f>
        <v>46.35</v>
      </c>
      <c r="G913" s="26">
        <f>IFERROR(__xludf.DUMMYFUNCTION("""COMPUTED_VALUE"""),5.0)</f>
        <v>5</v>
      </c>
      <c r="H913" s="26">
        <f>IFERROR(__xludf.DUMMYFUNCTION("""COMPUTED_VALUE"""),21.7845)</f>
        <v>21.7845</v>
      </c>
    </row>
    <row r="914">
      <c r="A914" s="26" t="str">
        <f>IFERROR(__xludf.DUMMYFUNCTION("""COMPUTED_VALUE"""),"US-2015-150630")</f>
        <v>US-2015-150630</v>
      </c>
      <c r="B914" s="27">
        <f>IFERROR(__xludf.DUMMYFUNCTION("""COMPUTED_VALUE"""),42264.0)</f>
        <v>42264</v>
      </c>
      <c r="C914" s="26" t="str">
        <f>IFERROR(__xludf.DUMMYFUNCTION("""COMPUTED_VALUE"""),"Tracy Blumstein")</f>
        <v>Tracy Blumstein</v>
      </c>
      <c r="D914" s="26" t="str">
        <f>IFERROR(__xludf.DUMMYFUNCTION("""COMPUTED_VALUE"""),"Consumer")</f>
        <v>Consumer</v>
      </c>
      <c r="E914" s="26" t="str">
        <f>IFERROR(__xludf.DUMMYFUNCTION("""COMPUTED_VALUE"""),"East")</f>
        <v>East</v>
      </c>
      <c r="F914" s="26">
        <f>IFERROR(__xludf.DUMMYFUNCTION("""COMPUTED_VALUE"""),3083.43)</f>
        <v>3083.43</v>
      </c>
      <c r="G914" s="26">
        <f>IFERROR(__xludf.DUMMYFUNCTION("""COMPUTED_VALUE"""),7.0)</f>
        <v>7</v>
      </c>
      <c r="H914" s="26">
        <f>IFERROR(__xludf.DUMMYFUNCTION("""COMPUTED_VALUE"""),-1665.0522)</f>
        <v>-1665.0522</v>
      </c>
    </row>
    <row r="915">
      <c r="A915" s="26" t="str">
        <f>IFERROR(__xludf.DUMMYFUNCTION("""COMPUTED_VALUE"""),"CA-2015-119697")</f>
        <v>CA-2015-119697</v>
      </c>
      <c r="B915" s="27">
        <f>IFERROR(__xludf.DUMMYFUNCTION("""COMPUTED_VALUE"""),42366.0)</f>
        <v>42366</v>
      </c>
      <c r="C915" s="26" t="str">
        <f>IFERROR(__xludf.DUMMYFUNCTION("""COMPUTED_VALUE"""),"Eric Murdock")</f>
        <v>Eric Murdock</v>
      </c>
      <c r="D915" s="26" t="str">
        <f>IFERROR(__xludf.DUMMYFUNCTION("""COMPUTED_VALUE"""),"Consumer")</f>
        <v>Consumer</v>
      </c>
      <c r="E915" s="26" t="str">
        <f>IFERROR(__xludf.DUMMYFUNCTION("""COMPUTED_VALUE"""),"East")</f>
        <v>East</v>
      </c>
      <c r="F915" s="26">
        <f>IFERROR(__xludf.DUMMYFUNCTION("""COMPUTED_VALUE"""),54.384)</f>
        <v>54.384</v>
      </c>
      <c r="G915" s="26">
        <f>IFERROR(__xludf.DUMMYFUNCTION("""COMPUTED_VALUE"""),2.0)</f>
        <v>2</v>
      </c>
      <c r="H915" s="26">
        <f>IFERROR(__xludf.DUMMYFUNCTION("""COMPUTED_VALUE"""),1.3596)</f>
        <v>1.3596</v>
      </c>
    </row>
    <row r="916">
      <c r="A916" s="26" t="str">
        <f>IFERROR(__xludf.DUMMYFUNCTION("""COMPUTED_VALUE"""),"US-2015-101511")</f>
        <v>US-2015-101511</v>
      </c>
      <c r="B916" s="27">
        <f>IFERROR(__xludf.DUMMYFUNCTION("""COMPUTED_VALUE"""),42329.0)</f>
        <v>42329</v>
      </c>
      <c r="C916" s="26" t="str">
        <f>IFERROR(__xludf.DUMMYFUNCTION("""COMPUTED_VALUE"""),"Joel Eaton")</f>
        <v>Joel Eaton</v>
      </c>
      <c r="D916" s="26" t="str">
        <f>IFERROR(__xludf.DUMMYFUNCTION("""COMPUTED_VALUE"""),"Consumer")</f>
        <v>Consumer</v>
      </c>
      <c r="E916" s="26" t="str">
        <f>IFERROR(__xludf.DUMMYFUNCTION("""COMPUTED_VALUE"""),"East")</f>
        <v>East</v>
      </c>
      <c r="F916" s="26">
        <f>IFERROR(__xludf.DUMMYFUNCTION("""COMPUTED_VALUE"""),396.802)</f>
        <v>396.802</v>
      </c>
      <c r="G916" s="26">
        <f>IFERROR(__xludf.DUMMYFUNCTION("""COMPUTED_VALUE"""),7.0)</f>
        <v>7</v>
      </c>
      <c r="H916" s="26">
        <f>IFERROR(__xludf.DUMMYFUNCTION("""COMPUTED_VALUE"""),-11.3372)</f>
        <v>-11.3372</v>
      </c>
    </row>
    <row r="917">
      <c r="A917" s="26" t="str">
        <f>IFERROR(__xludf.DUMMYFUNCTION("""COMPUTED_VALUE"""),"CA-2015-137225")</f>
        <v>CA-2015-137225</v>
      </c>
      <c r="B917" s="27">
        <f>IFERROR(__xludf.DUMMYFUNCTION("""COMPUTED_VALUE"""),42353.0)</f>
        <v>42353</v>
      </c>
      <c r="C917" s="26" t="str">
        <f>IFERROR(__xludf.DUMMYFUNCTION("""COMPUTED_VALUE"""),"Jim Kriz")</f>
        <v>Jim Kriz</v>
      </c>
      <c r="D917" s="26" t="str">
        <f>IFERROR(__xludf.DUMMYFUNCTION("""COMPUTED_VALUE"""),"Home Office")</f>
        <v>Home Office</v>
      </c>
      <c r="E917" s="26" t="str">
        <f>IFERROR(__xludf.DUMMYFUNCTION("""COMPUTED_VALUE"""),"East")</f>
        <v>East</v>
      </c>
      <c r="F917" s="26">
        <f>IFERROR(__xludf.DUMMYFUNCTION("""COMPUTED_VALUE"""),3.28)</f>
        <v>3.28</v>
      </c>
      <c r="G917" s="26">
        <f>IFERROR(__xludf.DUMMYFUNCTION("""COMPUTED_VALUE"""),1.0)</f>
        <v>1</v>
      </c>
      <c r="H917" s="26">
        <f>IFERROR(__xludf.DUMMYFUNCTION("""COMPUTED_VALUE"""),1.4104)</f>
        <v>1.4104</v>
      </c>
    </row>
    <row r="918">
      <c r="A918" s="26" t="str">
        <f>IFERROR(__xludf.DUMMYFUNCTION("""COMPUTED_VALUE"""),"CA-2015-102281")</f>
        <v>CA-2015-102281</v>
      </c>
      <c r="B918" s="27">
        <f>IFERROR(__xludf.DUMMYFUNCTION("""COMPUTED_VALUE"""),42289.0)</f>
        <v>42289</v>
      </c>
      <c r="C918" s="26" t="str">
        <f>IFERROR(__xludf.DUMMYFUNCTION("""COMPUTED_VALUE"""),"Mark Packer")</f>
        <v>Mark Packer</v>
      </c>
      <c r="D918" s="26" t="str">
        <f>IFERROR(__xludf.DUMMYFUNCTION("""COMPUTED_VALUE"""),"Home Office")</f>
        <v>Home Office</v>
      </c>
      <c r="E918" s="26" t="str">
        <f>IFERROR(__xludf.DUMMYFUNCTION("""COMPUTED_VALUE"""),"East")</f>
        <v>East</v>
      </c>
      <c r="F918" s="26">
        <f>IFERROR(__xludf.DUMMYFUNCTION("""COMPUTED_VALUE"""),899.136)</f>
        <v>899.136</v>
      </c>
      <c r="G918" s="26">
        <f>IFERROR(__xludf.DUMMYFUNCTION("""COMPUTED_VALUE"""),4.0)</f>
        <v>4</v>
      </c>
      <c r="H918" s="26">
        <f>IFERROR(__xludf.DUMMYFUNCTION("""COMPUTED_VALUE"""),112.392)</f>
        <v>112.392</v>
      </c>
    </row>
    <row r="919">
      <c r="A919" s="26" t="str">
        <f>IFERROR(__xludf.DUMMYFUNCTION("""COMPUTED_VALUE"""),"CA-2015-146262")</f>
        <v>CA-2015-146262</v>
      </c>
      <c r="B919" s="27">
        <f>IFERROR(__xludf.DUMMYFUNCTION("""COMPUTED_VALUE"""),42006.0)</f>
        <v>42006</v>
      </c>
      <c r="C919" s="26" t="str">
        <f>IFERROR(__xludf.DUMMYFUNCTION("""COMPUTED_VALUE"""),"Victoria Wilson")</f>
        <v>Victoria Wilson</v>
      </c>
      <c r="D919" s="26" t="str">
        <f>IFERROR(__xludf.DUMMYFUNCTION("""COMPUTED_VALUE"""),"Corporate")</f>
        <v>Corporate</v>
      </c>
      <c r="E919" s="26" t="str">
        <f>IFERROR(__xludf.DUMMYFUNCTION("""COMPUTED_VALUE"""),"East")</f>
        <v>East</v>
      </c>
      <c r="F919" s="26">
        <f>IFERROR(__xludf.DUMMYFUNCTION("""COMPUTED_VALUE"""),23.68)</f>
        <v>23.68</v>
      </c>
      <c r="G919" s="26">
        <f>IFERROR(__xludf.DUMMYFUNCTION("""COMPUTED_VALUE"""),2.0)</f>
        <v>2</v>
      </c>
      <c r="H919" s="26">
        <f>IFERROR(__xludf.DUMMYFUNCTION("""COMPUTED_VALUE"""),8.88)</f>
        <v>8.88</v>
      </c>
    </row>
    <row r="920">
      <c r="A920" s="26" t="str">
        <f>IFERROR(__xludf.DUMMYFUNCTION("""COMPUTED_VALUE"""),"CA-2015-169397")</f>
        <v>CA-2015-169397</v>
      </c>
      <c r="B920" s="27">
        <f>IFERROR(__xludf.DUMMYFUNCTION("""COMPUTED_VALUE"""),42362.0)</f>
        <v>42362</v>
      </c>
      <c r="C920" s="26" t="str">
        <f>IFERROR(__xludf.DUMMYFUNCTION("""COMPUTED_VALUE"""),"Joni Blumstein")</f>
        <v>Joni Blumstein</v>
      </c>
      <c r="D920" s="26" t="str">
        <f>IFERROR(__xludf.DUMMYFUNCTION("""COMPUTED_VALUE"""),"Consumer")</f>
        <v>Consumer</v>
      </c>
      <c r="E920" s="26" t="str">
        <f>IFERROR(__xludf.DUMMYFUNCTION("""COMPUTED_VALUE"""),"East")</f>
        <v>East</v>
      </c>
      <c r="F920" s="26">
        <f>IFERROR(__xludf.DUMMYFUNCTION("""COMPUTED_VALUE"""),5.584)</f>
        <v>5.584</v>
      </c>
      <c r="G920" s="26">
        <f>IFERROR(__xludf.DUMMYFUNCTION("""COMPUTED_VALUE"""),2.0)</f>
        <v>2</v>
      </c>
      <c r="H920" s="26">
        <f>IFERROR(__xludf.DUMMYFUNCTION("""COMPUTED_VALUE"""),1.8148)</f>
        <v>1.8148</v>
      </c>
    </row>
    <row r="921">
      <c r="A921" s="26" t="str">
        <f>IFERROR(__xludf.DUMMYFUNCTION("""COMPUTED_VALUE"""),"CA-2015-144253")</f>
        <v>CA-2015-144253</v>
      </c>
      <c r="B921" s="27">
        <f>IFERROR(__xludf.DUMMYFUNCTION("""COMPUTED_VALUE"""),42128.0)</f>
        <v>42128</v>
      </c>
      <c r="C921" s="26" t="str">
        <f>IFERROR(__xludf.DUMMYFUNCTION("""COMPUTED_VALUE"""),"Alan Schoenberger")</f>
        <v>Alan Schoenberger</v>
      </c>
      <c r="D921" s="26" t="str">
        <f>IFERROR(__xludf.DUMMYFUNCTION("""COMPUTED_VALUE"""),"Corporate")</f>
        <v>Corporate</v>
      </c>
      <c r="E921" s="26" t="str">
        <f>IFERROR(__xludf.DUMMYFUNCTION("""COMPUTED_VALUE"""),"East")</f>
        <v>East</v>
      </c>
      <c r="F921" s="26">
        <f>IFERROR(__xludf.DUMMYFUNCTION("""COMPUTED_VALUE"""),26.8)</f>
        <v>26.8</v>
      </c>
      <c r="G921" s="26">
        <f>IFERROR(__xludf.DUMMYFUNCTION("""COMPUTED_VALUE"""),2.0)</f>
        <v>2</v>
      </c>
      <c r="H921" s="26">
        <f>IFERROR(__xludf.DUMMYFUNCTION("""COMPUTED_VALUE"""),12.864)</f>
        <v>12.864</v>
      </c>
    </row>
    <row r="922">
      <c r="A922" s="26" t="str">
        <f>IFERROR(__xludf.DUMMYFUNCTION("""COMPUTED_VALUE"""),"CA-2015-122756")</f>
        <v>CA-2015-122756</v>
      </c>
      <c r="B922" s="27">
        <f>IFERROR(__xludf.DUMMYFUNCTION("""COMPUTED_VALUE"""),42341.0)</f>
        <v>42341</v>
      </c>
      <c r="C922" s="26" t="str">
        <f>IFERROR(__xludf.DUMMYFUNCTION("""COMPUTED_VALUE"""),"Dean Katz")</f>
        <v>Dean Katz</v>
      </c>
      <c r="D922" s="26" t="str">
        <f>IFERROR(__xludf.DUMMYFUNCTION("""COMPUTED_VALUE"""),"Corporate")</f>
        <v>Corporate</v>
      </c>
      <c r="E922" s="26" t="str">
        <f>IFERROR(__xludf.DUMMYFUNCTION("""COMPUTED_VALUE"""),"East")</f>
        <v>East</v>
      </c>
      <c r="F922" s="26">
        <f>IFERROR(__xludf.DUMMYFUNCTION("""COMPUTED_VALUE"""),482.34)</f>
        <v>482.34</v>
      </c>
      <c r="G922" s="26">
        <f>IFERROR(__xludf.DUMMYFUNCTION("""COMPUTED_VALUE"""),4.0)</f>
        <v>4</v>
      </c>
      <c r="H922" s="26">
        <f>IFERROR(__xludf.DUMMYFUNCTION("""COMPUTED_VALUE"""),-337.638)</f>
        <v>-337.638</v>
      </c>
    </row>
    <row r="923">
      <c r="A923" s="26" t="str">
        <f>IFERROR(__xludf.DUMMYFUNCTION("""COMPUTED_VALUE"""),"CA-2015-154144")</f>
        <v>CA-2015-154144</v>
      </c>
      <c r="B923" s="27">
        <f>IFERROR(__xludf.DUMMYFUNCTION("""COMPUTED_VALUE"""),42358.0)</f>
        <v>42358</v>
      </c>
      <c r="C923" s="26" t="str">
        <f>IFERROR(__xludf.DUMMYFUNCTION("""COMPUTED_VALUE"""),"Maya Herman")</f>
        <v>Maya Herman</v>
      </c>
      <c r="D923" s="26" t="str">
        <f>IFERROR(__xludf.DUMMYFUNCTION("""COMPUTED_VALUE"""),"Corporate")</f>
        <v>Corporate</v>
      </c>
      <c r="E923" s="26" t="str">
        <f>IFERROR(__xludf.DUMMYFUNCTION("""COMPUTED_VALUE"""),"East")</f>
        <v>East</v>
      </c>
      <c r="F923" s="26">
        <f>IFERROR(__xludf.DUMMYFUNCTION("""COMPUTED_VALUE"""),55.48)</f>
        <v>55.48</v>
      </c>
      <c r="G923" s="26">
        <f>IFERROR(__xludf.DUMMYFUNCTION("""COMPUTED_VALUE"""),1.0)</f>
        <v>1</v>
      </c>
      <c r="H923" s="26">
        <f>IFERROR(__xludf.DUMMYFUNCTION("""COMPUTED_VALUE"""),26.6304)</f>
        <v>26.6304</v>
      </c>
    </row>
    <row r="924">
      <c r="A924" s="26" t="str">
        <f>IFERROR(__xludf.DUMMYFUNCTION("""COMPUTED_VALUE"""),"CA-2015-158792")</f>
        <v>CA-2015-158792</v>
      </c>
      <c r="B924" s="27">
        <f>IFERROR(__xludf.DUMMYFUNCTION("""COMPUTED_VALUE"""),42364.0)</f>
        <v>42364</v>
      </c>
      <c r="C924" s="26" t="str">
        <f>IFERROR(__xludf.DUMMYFUNCTION("""COMPUTED_VALUE"""),"Brian Dahlen")</f>
        <v>Brian Dahlen</v>
      </c>
      <c r="D924" s="26" t="str">
        <f>IFERROR(__xludf.DUMMYFUNCTION("""COMPUTED_VALUE"""),"Consumer")</f>
        <v>Consumer</v>
      </c>
      <c r="E924" s="26" t="str">
        <f>IFERROR(__xludf.DUMMYFUNCTION("""COMPUTED_VALUE"""),"East")</f>
        <v>East</v>
      </c>
      <c r="F924" s="26">
        <f>IFERROR(__xludf.DUMMYFUNCTION("""COMPUTED_VALUE"""),22.2)</f>
        <v>22.2</v>
      </c>
      <c r="G924" s="26">
        <f>IFERROR(__xludf.DUMMYFUNCTION("""COMPUTED_VALUE"""),5.0)</f>
        <v>5</v>
      </c>
      <c r="H924" s="26">
        <f>IFERROR(__xludf.DUMMYFUNCTION("""COMPUTED_VALUE"""),10.434)</f>
        <v>10.434</v>
      </c>
    </row>
    <row r="925">
      <c r="A925" s="26" t="str">
        <f>IFERROR(__xludf.DUMMYFUNCTION("""COMPUTED_VALUE"""),"US-2015-138303")</f>
        <v>US-2015-138303</v>
      </c>
      <c r="B925" s="27">
        <f>IFERROR(__xludf.DUMMYFUNCTION("""COMPUTED_VALUE"""),42250.0)</f>
        <v>42250</v>
      </c>
      <c r="C925" s="26" t="str">
        <f>IFERROR(__xludf.DUMMYFUNCTION("""COMPUTED_VALUE"""),"Mike Gockenbach")</f>
        <v>Mike Gockenbach</v>
      </c>
      <c r="D925" s="26" t="str">
        <f>IFERROR(__xludf.DUMMYFUNCTION("""COMPUTED_VALUE"""),"Consumer")</f>
        <v>Consumer</v>
      </c>
      <c r="E925" s="26" t="str">
        <f>IFERROR(__xludf.DUMMYFUNCTION("""COMPUTED_VALUE"""),"East")</f>
        <v>East</v>
      </c>
      <c r="F925" s="26">
        <f>IFERROR(__xludf.DUMMYFUNCTION("""COMPUTED_VALUE"""),36.336)</f>
        <v>36.336</v>
      </c>
      <c r="G925" s="26">
        <f>IFERROR(__xludf.DUMMYFUNCTION("""COMPUTED_VALUE"""),3.0)</f>
        <v>3</v>
      </c>
      <c r="H925" s="26">
        <f>IFERROR(__xludf.DUMMYFUNCTION("""COMPUTED_VALUE"""),-7.2672)</f>
        <v>-7.2672</v>
      </c>
    </row>
    <row r="926">
      <c r="A926" s="26" t="str">
        <f>IFERROR(__xludf.DUMMYFUNCTION("""COMPUTED_VALUE"""),"CA-2015-147851")</f>
        <v>CA-2015-147851</v>
      </c>
      <c r="B926" s="27">
        <f>IFERROR(__xludf.DUMMYFUNCTION("""COMPUTED_VALUE"""),42341.0)</f>
        <v>42341</v>
      </c>
      <c r="C926" s="26" t="str">
        <f>IFERROR(__xludf.DUMMYFUNCTION("""COMPUTED_VALUE"""),"Mark Packer")</f>
        <v>Mark Packer</v>
      </c>
      <c r="D926" s="26" t="str">
        <f>IFERROR(__xludf.DUMMYFUNCTION("""COMPUTED_VALUE"""),"Home Office")</f>
        <v>Home Office</v>
      </c>
      <c r="E926" s="26" t="str">
        <f>IFERROR(__xludf.DUMMYFUNCTION("""COMPUTED_VALUE"""),"East")</f>
        <v>East</v>
      </c>
      <c r="F926" s="26">
        <f>IFERROR(__xludf.DUMMYFUNCTION("""COMPUTED_VALUE"""),10.752)</f>
        <v>10.752</v>
      </c>
      <c r="G926" s="26">
        <f>IFERROR(__xludf.DUMMYFUNCTION("""COMPUTED_VALUE"""),4.0)</f>
        <v>4</v>
      </c>
      <c r="H926" s="26">
        <f>IFERROR(__xludf.DUMMYFUNCTION("""COMPUTED_VALUE"""),3.36)</f>
        <v>3.36</v>
      </c>
    </row>
    <row r="927">
      <c r="A927" s="26" t="str">
        <f>IFERROR(__xludf.DUMMYFUNCTION("""COMPUTED_VALUE"""),"US-2015-120161")</f>
        <v>US-2015-120161</v>
      </c>
      <c r="B927" s="27">
        <f>IFERROR(__xludf.DUMMYFUNCTION("""COMPUTED_VALUE"""),42356.0)</f>
        <v>42356</v>
      </c>
      <c r="C927" s="26" t="str">
        <f>IFERROR(__xludf.DUMMYFUNCTION("""COMPUTED_VALUE"""),"Liz MacKendrick")</f>
        <v>Liz MacKendrick</v>
      </c>
      <c r="D927" s="26" t="str">
        <f>IFERROR(__xludf.DUMMYFUNCTION("""COMPUTED_VALUE"""),"Consumer")</f>
        <v>Consumer</v>
      </c>
      <c r="E927" s="26" t="str">
        <f>IFERROR(__xludf.DUMMYFUNCTION("""COMPUTED_VALUE"""),"East")</f>
        <v>East</v>
      </c>
      <c r="F927" s="26">
        <f>IFERROR(__xludf.DUMMYFUNCTION("""COMPUTED_VALUE"""),646.776)</f>
        <v>646.776</v>
      </c>
      <c r="G927" s="26">
        <f>IFERROR(__xludf.DUMMYFUNCTION("""COMPUTED_VALUE"""),9.0)</f>
        <v>9</v>
      </c>
      <c r="H927" s="26">
        <f>IFERROR(__xludf.DUMMYFUNCTION("""COMPUTED_VALUE"""),-145.5246)</f>
        <v>-145.5246</v>
      </c>
    </row>
    <row r="928">
      <c r="A928" s="26" t="str">
        <f>IFERROR(__xludf.DUMMYFUNCTION("""COMPUTED_VALUE"""),"CA-2015-119291")</f>
        <v>CA-2015-119291</v>
      </c>
      <c r="B928" s="27">
        <f>IFERROR(__xludf.DUMMYFUNCTION("""COMPUTED_VALUE"""),42138.0)</f>
        <v>42138</v>
      </c>
      <c r="C928" s="26" t="str">
        <f>IFERROR(__xludf.DUMMYFUNCTION("""COMPUTED_VALUE"""),"Jesus Ocampo")</f>
        <v>Jesus Ocampo</v>
      </c>
      <c r="D928" s="26" t="str">
        <f>IFERROR(__xludf.DUMMYFUNCTION("""COMPUTED_VALUE"""),"Home Office")</f>
        <v>Home Office</v>
      </c>
      <c r="E928" s="26" t="str">
        <f>IFERROR(__xludf.DUMMYFUNCTION("""COMPUTED_VALUE"""),"East")</f>
        <v>East</v>
      </c>
      <c r="F928" s="26">
        <f>IFERROR(__xludf.DUMMYFUNCTION("""COMPUTED_VALUE"""),198.272)</f>
        <v>198.272</v>
      </c>
      <c r="G928" s="26">
        <f>IFERROR(__xludf.DUMMYFUNCTION("""COMPUTED_VALUE"""),8.0)</f>
        <v>8</v>
      </c>
      <c r="H928" s="26">
        <f>IFERROR(__xludf.DUMMYFUNCTION("""COMPUTED_VALUE"""),17.3488)</f>
        <v>17.3488</v>
      </c>
    </row>
    <row r="929">
      <c r="A929" s="26" t="str">
        <f>IFERROR(__xludf.DUMMYFUNCTION("""COMPUTED_VALUE"""),"CA-2015-114923")</f>
        <v>CA-2015-114923</v>
      </c>
      <c r="B929" s="27">
        <f>IFERROR(__xludf.DUMMYFUNCTION("""COMPUTED_VALUE"""),42043.0)</f>
        <v>42043</v>
      </c>
      <c r="C929" s="26" t="str">
        <f>IFERROR(__xludf.DUMMYFUNCTION("""COMPUTED_VALUE"""),"Lisa Hazard")</f>
        <v>Lisa Hazard</v>
      </c>
      <c r="D929" s="26" t="str">
        <f>IFERROR(__xludf.DUMMYFUNCTION("""COMPUTED_VALUE"""),"Consumer")</f>
        <v>Consumer</v>
      </c>
      <c r="E929" s="26" t="str">
        <f>IFERROR(__xludf.DUMMYFUNCTION("""COMPUTED_VALUE"""),"East")</f>
        <v>East</v>
      </c>
      <c r="F929" s="26">
        <f>IFERROR(__xludf.DUMMYFUNCTION("""COMPUTED_VALUE"""),107.982)</f>
        <v>107.982</v>
      </c>
      <c r="G929" s="26">
        <f>IFERROR(__xludf.DUMMYFUNCTION("""COMPUTED_VALUE"""),3.0)</f>
        <v>3</v>
      </c>
      <c r="H929" s="26">
        <f>IFERROR(__xludf.DUMMYFUNCTION("""COMPUTED_VALUE"""),-26.9955)</f>
        <v>-26.9955</v>
      </c>
    </row>
    <row r="930">
      <c r="A930" s="26" t="str">
        <f>IFERROR(__xludf.DUMMYFUNCTION("""COMPUTED_VALUE"""),"US-2015-157014")</f>
        <v>US-2015-157014</v>
      </c>
      <c r="B930" s="27">
        <f>IFERROR(__xludf.DUMMYFUNCTION("""COMPUTED_VALUE"""),42280.0)</f>
        <v>42280</v>
      </c>
      <c r="C930" s="26" t="str">
        <f>IFERROR(__xludf.DUMMYFUNCTION("""COMPUTED_VALUE"""),"Bryan Mills")</f>
        <v>Bryan Mills</v>
      </c>
      <c r="D930" s="26" t="str">
        <f>IFERROR(__xludf.DUMMYFUNCTION("""COMPUTED_VALUE"""),"Consumer")</f>
        <v>Consumer</v>
      </c>
      <c r="E930" s="26" t="str">
        <f>IFERROR(__xludf.DUMMYFUNCTION("""COMPUTED_VALUE"""),"East")</f>
        <v>East</v>
      </c>
      <c r="F930" s="26">
        <f>IFERROR(__xludf.DUMMYFUNCTION("""COMPUTED_VALUE"""),32.07)</f>
        <v>32.07</v>
      </c>
      <c r="G930" s="26">
        <f>IFERROR(__xludf.DUMMYFUNCTION("""COMPUTED_VALUE"""),5.0)</f>
        <v>5</v>
      </c>
      <c r="H930" s="26">
        <f>IFERROR(__xludf.DUMMYFUNCTION("""COMPUTED_VALUE"""),-22.449)</f>
        <v>-22.449</v>
      </c>
    </row>
    <row r="931">
      <c r="A931" s="26" t="str">
        <f>IFERROR(__xludf.DUMMYFUNCTION("""COMPUTED_VALUE"""),"CA-2015-124653")</f>
        <v>CA-2015-124653</v>
      </c>
      <c r="B931" s="27">
        <f>IFERROR(__xludf.DUMMYFUNCTION("""COMPUTED_VALUE"""),42362.0)</f>
        <v>42362</v>
      </c>
      <c r="C931" s="26" t="str">
        <f>IFERROR(__xludf.DUMMYFUNCTION("""COMPUTED_VALUE"""),"David Bremer")</f>
        <v>David Bremer</v>
      </c>
      <c r="D931" s="26" t="str">
        <f>IFERROR(__xludf.DUMMYFUNCTION("""COMPUTED_VALUE"""),"Corporate")</f>
        <v>Corporate</v>
      </c>
      <c r="E931" s="26" t="str">
        <f>IFERROR(__xludf.DUMMYFUNCTION("""COMPUTED_VALUE"""),"East")</f>
        <v>East</v>
      </c>
      <c r="F931" s="26">
        <f>IFERROR(__xludf.DUMMYFUNCTION("""COMPUTED_VALUE"""),132.79)</f>
        <v>132.79</v>
      </c>
      <c r="G931" s="26">
        <f>IFERROR(__xludf.DUMMYFUNCTION("""COMPUTED_VALUE"""),7.0)</f>
        <v>7</v>
      </c>
      <c r="H931" s="26">
        <f>IFERROR(__xludf.DUMMYFUNCTION("""COMPUTED_VALUE"""),63.7392)</f>
        <v>63.7392</v>
      </c>
    </row>
    <row r="932">
      <c r="A932" s="26" t="str">
        <f>IFERROR(__xludf.DUMMYFUNCTION("""COMPUTED_VALUE"""),"CA-2015-100454")</f>
        <v>CA-2015-100454</v>
      </c>
      <c r="B932" s="27">
        <f>IFERROR(__xludf.DUMMYFUNCTION("""COMPUTED_VALUE"""),42328.0)</f>
        <v>42328</v>
      </c>
      <c r="C932" s="26" t="str">
        <f>IFERROR(__xludf.DUMMYFUNCTION("""COMPUTED_VALUE"""),"Brian Moss")</f>
        <v>Brian Moss</v>
      </c>
      <c r="D932" s="26" t="str">
        <f>IFERROR(__xludf.DUMMYFUNCTION("""COMPUTED_VALUE"""),"Corporate")</f>
        <v>Corporate</v>
      </c>
      <c r="E932" s="26" t="str">
        <f>IFERROR(__xludf.DUMMYFUNCTION("""COMPUTED_VALUE"""),"East")</f>
        <v>East</v>
      </c>
      <c r="F932" s="26">
        <f>IFERROR(__xludf.DUMMYFUNCTION("""COMPUTED_VALUE"""),60.45)</f>
        <v>60.45</v>
      </c>
      <c r="G932" s="26">
        <f>IFERROR(__xludf.DUMMYFUNCTION("""COMPUTED_VALUE"""),3.0)</f>
        <v>3</v>
      </c>
      <c r="H932" s="26">
        <f>IFERROR(__xludf.DUMMYFUNCTION("""COMPUTED_VALUE"""),16.3215)</f>
        <v>16.3215</v>
      </c>
    </row>
    <row r="933">
      <c r="A933" s="26" t="str">
        <f>IFERROR(__xludf.DUMMYFUNCTION("""COMPUTED_VALUE"""),"CA-2015-131128")</f>
        <v>CA-2015-131128</v>
      </c>
      <c r="B933" s="27">
        <f>IFERROR(__xludf.DUMMYFUNCTION("""COMPUTED_VALUE"""),42296.0)</f>
        <v>42296</v>
      </c>
      <c r="C933" s="26" t="str">
        <f>IFERROR(__xludf.DUMMYFUNCTION("""COMPUTED_VALUE"""),"Tracy Blumstein")</f>
        <v>Tracy Blumstein</v>
      </c>
      <c r="D933" s="26" t="str">
        <f>IFERROR(__xludf.DUMMYFUNCTION("""COMPUTED_VALUE"""),"Consumer")</f>
        <v>Consumer</v>
      </c>
      <c r="E933" s="26" t="str">
        <f>IFERROR(__xludf.DUMMYFUNCTION("""COMPUTED_VALUE"""),"East")</f>
        <v>East</v>
      </c>
      <c r="F933" s="26">
        <f>IFERROR(__xludf.DUMMYFUNCTION("""COMPUTED_VALUE"""),34.44)</f>
        <v>34.44</v>
      </c>
      <c r="G933" s="26">
        <f>IFERROR(__xludf.DUMMYFUNCTION("""COMPUTED_VALUE"""),3.0)</f>
        <v>3</v>
      </c>
      <c r="H933" s="26">
        <f>IFERROR(__xludf.DUMMYFUNCTION("""COMPUTED_VALUE"""),17.22)</f>
        <v>17.22</v>
      </c>
    </row>
    <row r="934">
      <c r="A934" s="26" t="str">
        <f>IFERROR(__xludf.DUMMYFUNCTION("""COMPUTED_VALUE"""),"CA-2015-133627")</f>
        <v>CA-2015-133627</v>
      </c>
      <c r="B934" s="27">
        <f>IFERROR(__xludf.DUMMYFUNCTION("""COMPUTED_VALUE"""),42155.0)</f>
        <v>42155</v>
      </c>
      <c r="C934" s="26" t="str">
        <f>IFERROR(__xludf.DUMMYFUNCTION("""COMPUTED_VALUE"""),"Sample Company A")</f>
        <v>Sample Company A</v>
      </c>
      <c r="D934" s="26" t="str">
        <f>IFERROR(__xludf.DUMMYFUNCTION("""COMPUTED_VALUE"""),"Home Office")</f>
        <v>Home Office</v>
      </c>
      <c r="E934" s="26" t="str">
        <f>IFERROR(__xludf.DUMMYFUNCTION("""COMPUTED_VALUE"""),"East")</f>
        <v>East</v>
      </c>
      <c r="F934" s="26">
        <f>IFERROR(__xludf.DUMMYFUNCTION("""COMPUTED_VALUE"""),22.2)</f>
        <v>22.2</v>
      </c>
      <c r="G934" s="26">
        <f>IFERROR(__xludf.DUMMYFUNCTION("""COMPUTED_VALUE"""),6.0)</f>
        <v>6</v>
      </c>
      <c r="H934" s="26">
        <f>IFERROR(__xludf.DUMMYFUNCTION("""COMPUTED_VALUE"""),9.102)</f>
        <v>9.102</v>
      </c>
    </row>
    <row r="935">
      <c r="A935" s="26" t="str">
        <f>IFERROR(__xludf.DUMMYFUNCTION("""COMPUTED_VALUE"""),"CA-2015-111164")</f>
        <v>CA-2015-111164</v>
      </c>
      <c r="B935" s="27">
        <f>IFERROR(__xludf.DUMMYFUNCTION("""COMPUTED_VALUE"""),42105.0)</f>
        <v>42105</v>
      </c>
      <c r="C935" s="26" t="str">
        <f>IFERROR(__xludf.DUMMYFUNCTION("""COMPUTED_VALUE"""),"Sanjit Engle")</f>
        <v>Sanjit Engle</v>
      </c>
      <c r="D935" s="26" t="str">
        <f>IFERROR(__xludf.DUMMYFUNCTION("""COMPUTED_VALUE"""),"Consumer")</f>
        <v>Consumer</v>
      </c>
      <c r="E935" s="26" t="str">
        <f>IFERROR(__xludf.DUMMYFUNCTION("""COMPUTED_VALUE"""),"East")</f>
        <v>East</v>
      </c>
      <c r="F935" s="26">
        <f>IFERROR(__xludf.DUMMYFUNCTION("""COMPUTED_VALUE"""),85.14)</f>
        <v>85.14</v>
      </c>
      <c r="G935" s="26">
        <f>IFERROR(__xludf.DUMMYFUNCTION("""COMPUTED_VALUE"""),3.0)</f>
        <v>3</v>
      </c>
      <c r="H935" s="26">
        <f>IFERROR(__xludf.DUMMYFUNCTION("""COMPUTED_VALUE"""),34.9074)</f>
        <v>34.9074</v>
      </c>
    </row>
    <row r="936">
      <c r="A936" s="26" t="str">
        <f>IFERROR(__xludf.DUMMYFUNCTION("""COMPUTED_VALUE"""),"CA-2015-124891")</f>
        <v>CA-2015-124891</v>
      </c>
      <c r="B936" s="27">
        <f>IFERROR(__xludf.DUMMYFUNCTION("""COMPUTED_VALUE"""),42216.0)</f>
        <v>42216</v>
      </c>
      <c r="C936" s="26" t="str">
        <f>IFERROR(__xludf.DUMMYFUNCTION("""COMPUTED_VALUE"""),"Rick Hansen")</f>
        <v>Rick Hansen</v>
      </c>
      <c r="D936" s="26" t="str">
        <f>IFERROR(__xludf.DUMMYFUNCTION("""COMPUTED_VALUE"""),"Consumer")</f>
        <v>Consumer</v>
      </c>
      <c r="E936" s="26" t="str">
        <f>IFERROR(__xludf.DUMMYFUNCTION("""COMPUTED_VALUE"""),"East")</f>
        <v>East</v>
      </c>
      <c r="F936" s="26">
        <f>IFERROR(__xludf.DUMMYFUNCTION("""COMPUTED_VALUE"""),2309.65)</f>
        <v>2309.65</v>
      </c>
      <c r="G936" s="26">
        <f>IFERROR(__xludf.DUMMYFUNCTION("""COMPUTED_VALUE"""),7.0)</f>
        <v>7</v>
      </c>
      <c r="H936" s="26">
        <f>IFERROR(__xludf.DUMMYFUNCTION("""COMPUTED_VALUE"""),762.1845)</f>
        <v>762.1845</v>
      </c>
    </row>
    <row r="937">
      <c r="A937" s="26" t="str">
        <f>IFERROR(__xludf.DUMMYFUNCTION("""COMPUTED_VALUE"""),"CA-2015-108665")</f>
        <v>CA-2015-108665</v>
      </c>
      <c r="B937" s="27">
        <f>IFERROR(__xludf.DUMMYFUNCTION("""COMPUTED_VALUE"""),42191.0)</f>
        <v>42191</v>
      </c>
      <c r="C937" s="26" t="str">
        <f>IFERROR(__xludf.DUMMYFUNCTION("""COMPUTED_VALUE"""),"Kalyca Meade")</f>
        <v>Kalyca Meade</v>
      </c>
      <c r="D937" s="26" t="str">
        <f>IFERROR(__xludf.DUMMYFUNCTION("""COMPUTED_VALUE"""),"Corporate")</f>
        <v>Corporate</v>
      </c>
      <c r="E937" s="26" t="str">
        <f>IFERROR(__xludf.DUMMYFUNCTION("""COMPUTED_VALUE"""),"East")</f>
        <v>East</v>
      </c>
      <c r="F937" s="26">
        <f>IFERROR(__xludf.DUMMYFUNCTION("""COMPUTED_VALUE"""),13.96)</f>
        <v>13.96</v>
      </c>
      <c r="G937" s="26">
        <f>IFERROR(__xludf.DUMMYFUNCTION("""COMPUTED_VALUE"""),2.0)</f>
        <v>2</v>
      </c>
      <c r="H937" s="26">
        <f>IFERROR(__xludf.DUMMYFUNCTION("""COMPUTED_VALUE"""),6.7008)</f>
        <v>6.7008</v>
      </c>
    </row>
    <row r="938">
      <c r="A938" s="26" t="str">
        <f>IFERROR(__xludf.DUMMYFUNCTION("""COMPUTED_VALUE"""),"CA-2015-124450")</f>
        <v>CA-2015-124450</v>
      </c>
      <c r="B938" s="27">
        <f>IFERROR(__xludf.DUMMYFUNCTION("""COMPUTED_VALUE"""),42121.0)</f>
        <v>42121</v>
      </c>
      <c r="C938" s="26" t="str">
        <f>IFERROR(__xludf.DUMMYFUNCTION("""COMPUTED_VALUE"""),"Greg Tran")</f>
        <v>Greg Tran</v>
      </c>
      <c r="D938" s="26" t="str">
        <f>IFERROR(__xludf.DUMMYFUNCTION("""COMPUTED_VALUE"""),"Consumer")</f>
        <v>Consumer</v>
      </c>
      <c r="E938" s="26" t="str">
        <f>IFERROR(__xludf.DUMMYFUNCTION("""COMPUTED_VALUE"""),"East")</f>
        <v>East</v>
      </c>
      <c r="F938" s="26">
        <f>IFERROR(__xludf.DUMMYFUNCTION("""COMPUTED_VALUE"""),22.74)</f>
        <v>22.74</v>
      </c>
      <c r="G938" s="26">
        <f>IFERROR(__xludf.DUMMYFUNCTION("""COMPUTED_VALUE"""),3.0)</f>
        <v>3</v>
      </c>
      <c r="H938" s="26">
        <f>IFERROR(__xludf.DUMMYFUNCTION("""COMPUTED_VALUE"""),8.8686)</f>
        <v>8.8686</v>
      </c>
    </row>
    <row r="939">
      <c r="A939" s="26" t="str">
        <f>IFERROR(__xludf.DUMMYFUNCTION("""COMPUTED_VALUE"""),"CA-2015-167269")</f>
        <v>CA-2015-167269</v>
      </c>
      <c r="B939" s="27">
        <f>IFERROR(__xludf.DUMMYFUNCTION("""COMPUTED_VALUE"""),42171.0)</f>
        <v>42171</v>
      </c>
      <c r="C939" s="26" t="str">
        <f>IFERROR(__xludf.DUMMYFUNCTION("""COMPUTED_VALUE"""),"Philip Brown")</f>
        <v>Philip Brown</v>
      </c>
      <c r="D939" s="26" t="str">
        <f>IFERROR(__xludf.DUMMYFUNCTION("""COMPUTED_VALUE"""),"Consumer")</f>
        <v>Consumer</v>
      </c>
      <c r="E939" s="26" t="str">
        <f>IFERROR(__xludf.DUMMYFUNCTION("""COMPUTED_VALUE"""),"East")</f>
        <v>East</v>
      </c>
      <c r="F939" s="26">
        <f>IFERROR(__xludf.DUMMYFUNCTION("""COMPUTED_VALUE"""),6.208)</f>
        <v>6.208</v>
      </c>
      <c r="G939" s="26">
        <f>IFERROR(__xludf.DUMMYFUNCTION("""COMPUTED_VALUE"""),2.0)</f>
        <v>2</v>
      </c>
      <c r="H939" s="26">
        <f>IFERROR(__xludf.DUMMYFUNCTION("""COMPUTED_VALUE"""),2.1728)</f>
        <v>2.1728</v>
      </c>
    </row>
    <row r="940">
      <c r="A940" s="26" t="str">
        <f>IFERROR(__xludf.DUMMYFUNCTION("""COMPUTED_VALUE"""),"US-2015-153500")</f>
        <v>US-2015-153500</v>
      </c>
      <c r="B940" s="27">
        <f>IFERROR(__xludf.DUMMYFUNCTION("""COMPUTED_VALUE"""),42188.0)</f>
        <v>42188</v>
      </c>
      <c r="C940" s="26" t="str">
        <f>IFERROR(__xludf.DUMMYFUNCTION("""COMPUTED_VALUE"""),"Deirdre Greer")</f>
        <v>Deirdre Greer</v>
      </c>
      <c r="D940" s="26" t="str">
        <f>IFERROR(__xludf.DUMMYFUNCTION("""COMPUTED_VALUE"""),"Corporate")</f>
        <v>Corporate</v>
      </c>
      <c r="E940" s="26" t="str">
        <f>IFERROR(__xludf.DUMMYFUNCTION("""COMPUTED_VALUE"""),"East")</f>
        <v>East</v>
      </c>
      <c r="F940" s="26">
        <f>IFERROR(__xludf.DUMMYFUNCTION("""COMPUTED_VALUE"""),168.464)</f>
        <v>168.464</v>
      </c>
      <c r="G940" s="26">
        <f>IFERROR(__xludf.DUMMYFUNCTION("""COMPUTED_VALUE"""),2.0)</f>
        <v>2</v>
      </c>
      <c r="H940" s="26">
        <f>IFERROR(__xludf.DUMMYFUNCTION("""COMPUTED_VALUE"""),-29.4812)</f>
        <v>-29.4812</v>
      </c>
    </row>
    <row r="941">
      <c r="A941" s="26" t="str">
        <f>IFERROR(__xludf.DUMMYFUNCTION("""COMPUTED_VALUE"""),"CA-2015-110667")</f>
        <v>CA-2015-110667</v>
      </c>
      <c r="B941" s="27">
        <f>IFERROR(__xludf.DUMMYFUNCTION("""COMPUTED_VALUE"""),42098.0)</f>
        <v>42098</v>
      </c>
      <c r="C941" s="26" t="str">
        <f>IFERROR(__xludf.DUMMYFUNCTION("""COMPUTED_VALUE"""),"Nicole Fjeld")</f>
        <v>Nicole Fjeld</v>
      </c>
      <c r="D941" s="26" t="str">
        <f>IFERROR(__xludf.DUMMYFUNCTION("""COMPUTED_VALUE"""),"Home Office")</f>
        <v>Home Office</v>
      </c>
      <c r="E941" s="26" t="str">
        <f>IFERROR(__xludf.DUMMYFUNCTION("""COMPUTED_VALUE"""),"East")</f>
        <v>East</v>
      </c>
      <c r="F941" s="26">
        <f>IFERROR(__xludf.DUMMYFUNCTION("""COMPUTED_VALUE"""),11.16)</f>
        <v>11.16</v>
      </c>
      <c r="G941" s="26">
        <f>IFERROR(__xludf.DUMMYFUNCTION("""COMPUTED_VALUE"""),2.0)</f>
        <v>2</v>
      </c>
      <c r="H941" s="26">
        <f>IFERROR(__xludf.DUMMYFUNCTION("""COMPUTED_VALUE"""),4.3524)</f>
        <v>4.3524</v>
      </c>
    </row>
    <row r="942">
      <c r="A942" s="26" t="str">
        <f>IFERROR(__xludf.DUMMYFUNCTION("""COMPUTED_VALUE"""),"CA-2015-161263")</f>
        <v>CA-2015-161263</v>
      </c>
      <c r="B942" s="27">
        <f>IFERROR(__xludf.DUMMYFUNCTION("""COMPUTED_VALUE"""),42110.0)</f>
        <v>42110</v>
      </c>
      <c r="C942" s="26" t="str">
        <f>IFERROR(__xludf.DUMMYFUNCTION("""COMPUTED_VALUE"""),"Theresa Swint")</f>
        <v>Theresa Swint</v>
      </c>
      <c r="D942" s="26" t="str">
        <f>IFERROR(__xludf.DUMMYFUNCTION("""COMPUTED_VALUE"""),"Corporate")</f>
        <v>Corporate</v>
      </c>
      <c r="E942" s="26" t="str">
        <f>IFERROR(__xludf.DUMMYFUNCTION("""COMPUTED_VALUE"""),"East")</f>
        <v>East</v>
      </c>
      <c r="F942" s="26">
        <f>IFERROR(__xludf.DUMMYFUNCTION("""COMPUTED_VALUE"""),45.216)</f>
        <v>45.216</v>
      </c>
      <c r="G942" s="26">
        <f>IFERROR(__xludf.DUMMYFUNCTION("""COMPUTED_VALUE"""),3.0)</f>
        <v>3</v>
      </c>
      <c r="H942" s="26">
        <f>IFERROR(__xludf.DUMMYFUNCTION("""COMPUTED_VALUE"""),4.5216)</f>
        <v>4.5216</v>
      </c>
    </row>
    <row r="943">
      <c r="A943" s="26" t="str">
        <f>IFERROR(__xludf.DUMMYFUNCTION("""COMPUTED_VALUE"""),"US-2015-150161")</f>
        <v>US-2015-150161</v>
      </c>
      <c r="B943" s="27">
        <f>IFERROR(__xludf.DUMMYFUNCTION("""COMPUTED_VALUE"""),42210.0)</f>
        <v>42210</v>
      </c>
      <c r="C943" s="26" t="str">
        <f>IFERROR(__xludf.DUMMYFUNCTION("""COMPUTED_VALUE"""),"Ross Baird")</f>
        <v>Ross Baird</v>
      </c>
      <c r="D943" s="26" t="str">
        <f>IFERROR(__xludf.DUMMYFUNCTION("""COMPUTED_VALUE"""),"Home Office")</f>
        <v>Home Office</v>
      </c>
      <c r="E943" s="26" t="str">
        <f>IFERROR(__xludf.DUMMYFUNCTION("""COMPUTED_VALUE"""),"East")</f>
        <v>East</v>
      </c>
      <c r="F943" s="26">
        <f>IFERROR(__xludf.DUMMYFUNCTION("""COMPUTED_VALUE"""),25.176)</f>
        <v>25.176</v>
      </c>
      <c r="G943" s="26">
        <f>IFERROR(__xludf.DUMMYFUNCTION("""COMPUTED_VALUE"""),4.0)</f>
        <v>4</v>
      </c>
      <c r="H943" s="26">
        <f>IFERROR(__xludf.DUMMYFUNCTION("""COMPUTED_VALUE"""),-18.4624)</f>
        <v>-18.4624</v>
      </c>
    </row>
    <row r="944">
      <c r="A944" s="26" t="str">
        <f>IFERROR(__xludf.DUMMYFUNCTION("""COMPUTED_VALUE"""),"CA-2015-165085")</f>
        <v>CA-2015-165085</v>
      </c>
      <c r="B944" s="27">
        <f>IFERROR(__xludf.DUMMYFUNCTION("""COMPUTED_VALUE"""),42365.0)</f>
        <v>42365</v>
      </c>
      <c r="C944" s="26" t="str">
        <f>IFERROR(__xludf.DUMMYFUNCTION("""COMPUTED_VALUE"""),"Brad Thomas")</f>
        <v>Brad Thomas</v>
      </c>
      <c r="D944" s="26" t="str">
        <f>IFERROR(__xludf.DUMMYFUNCTION("""COMPUTED_VALUE"""),"Home Office")</f>
        <v>Home Office</v>
      </c>
      <c r="E944" s="26" t="str">
        <f>IFERROR(__xludf.DUMMYFUNCTION("""COMPUTED_VALUE"""),"East")</f>
        <v>East</v>
      </c>
      <c r="F944" s="26">
        <f>IFERROR(__xludf.DUMMYFUNCTION("""COMPUTED_VALUE"""),28.9)</f>
        <v>28.9</v>
      </c>
      <c r="G944" s="26">
        <f>IFERROR(__xludf.DUMMYFUNCTION("""COMPUTED_VALUE"""),5.0)</f>
        <v>5</v>
      </c>
      <c r="H944" s="26">
        <f>IFERROR(__xludf.DUMMYFUNCTION("""COMPUTED_VALUE"""),14.161)</f>
        <v>14.161</v>
      </c>
    </row>
    <row r="945">
      <c r="A945" s="26" t="str">
        <f>IFERROR(__xludf.DUMMYFUNCTION("""COMPUTED_VALUE"""),"CA-2015-113971")</f>
        <v>CA-2015-113971</v>
      </c>
      <c r="B945" s="27">
        <f>IFERROR(__xludf.DUMMYFUNCTION("""COMPUTED_VALUE"""),42132.0)</f>
        <v>42132</v>
      </c>
      <c r="C945" s="26" t="str">
        <f>IFERROR(__xludf.DUMMYFUNCTION("""COMPUTED_VALUE"""),"Claudia Bergmann")</f>
        <v>Claudia Bergmann</v>
      </c>
      <c r="D945" s="26" t="str">
        <f>IFERROR(__xludf.DUMMYFUNCTION("""COMPUTED_VALUE"""),"Corporate")</f>
        <v>Corporate</v>
      </c>
      <c r="E945" s="26" t="str">
        <f>IFERROR(__xludf.DUMMYFUNCTION("""COMPUTED_VALUE"""),"East")</f>
        <v>East</v>
      </c>
      <c r="F945" s="26">
        <f>IFERROR(__xludf.DUMMYFUNCTION("""COMPUTED_VALUE"""),8.352)</f>
        <v>8.352</v>
      </c>
      <c r="G945" s="26">
        <f>IFERROR(__xludf.DUMMYFUNCTION("""COMPUTED_VALUE"""),6.0)</f>
        <v>6</v>
      </c>
      <c r="H945" s="26">
        <f>IFERROR(__xludf.DUMMYFUNCTION("""COMPUTED_VALUE"""),1.2528)</f>
        <v>1.2528</v>
      </c>
    </row>
    <row r="946">
      <c r="A946" s="26" t="str">
        <f>IFERROR(__xludf.DUMMYFUNCTION("""COMPUTED_VALUE"""),"CA-2015-132080")</f>
        <v>CA-2015-132080</v>
      </c>
      <c r="B946" s="27">
        <f>IFERROR(__xludf.DUMMYFUNCTION("""COMPUTED_VALUE"""),42238.0)</f>
        <v>42238</v>
      </c>
      <c r="C946" s="26" t="str">
        <f>IFERROR(__xludf.DUMMYFUNCTION("""COMPUTED_VALUE"""),"Dave Poirier")</f>
        <v>Dave Poirier</v>
      </c>
      <c r="D946" s="26" t="str">
        <f>IFERROR(__xludf.DUMMYFUNCTION("""COMPUTED_VALUE"""),"Corporate")</f>
        <v>Corporate</v>
      </c>
      <c r="E946" s="26" t="str">
        <f>IFERROR(__xludf.DUMMYFUNCTION("""COMPUTED_VALUE"""),"East")</f>
        <v>East</v>
      </c>
      <c r="F946" s="26">
        <f>IFERROR(__xludf.DUMMYFUNCTION("""COMPUTED_VALUE"""),50.112)</f>
        <v>50.112</v>
      </c>
      <c r="G946" s="26">
        <f>IFERROR(__xludf.DUMMYFUNCTION("""COMPUTED_VALUE"""),6.0)</f>
        <v>6</v>
      </c>
      <c r="H946" s="26">
        <f>IFERROR(__xludf.DUMMYFUNCTION("""COMPUTED_VALUE"""),16.2864)</f>
        <v>16.2864</v>
      </c>
    </row>
    <row r="947">
      <c r="A947" s="26" t="str">
        <f>IFERROR(__xludf.DUMMYFUNCTION("""COMPUTED_VALUE"""),"CA-2015-132570")</f>
        <v>CA-2015-132570</v>
      </c>
      <c r="B947" s="27">
        <f>IFERROR(__xludf.DUMMYFUNCTION("""COMPUTED_VALUE"""),42308.0)</f>
        <v>42308</v>
      </c>
      <c r="C947" s="26" t="str">
        <f>IFERROR(__xludf.DUMMYFUNCTION("""COMPUTED_VALUE"""),"Kean Thornton")</f>
        <v>Kean Thornton</v>
      </c>
      <c r="D947" s="26" t="str">
        <f>IFERROR(__xludf.DUMMYFUNCTION("""COMPUTED_VALUE"""),"Consumer")</f>
        <v>Consumer</v>
      </c>
      <c r="E947" s="26" t="str">
        <f>IFERROR(__xludf.DUMMYFUNCTION("""COMPUTED_VALUE"""),"East")</f>
        <v>East</v>
      </c>
      <c r="F947" s="26">
        <f>IFERROR(__xludf.DUMMYFUNCTION("""COMPUTED_VALUE"""),2.78)</f>
        <v>2.78</v>
      </c>
      <c r="G947" s="26">
        <f>IFERROR(__xludf.DUMMYFUNCTION("""COMPUTED_VALUE"""),2.0)</f>
        <v>2</v>
      </c>
      <c r="H947" s="26">
        <f>IFERROR(__xludf.DUMMYFUNCTION("""COMPUTED_VALUE"""),0.7228)</f>
        <v>0.7228</v>
      </c>
    </row>
    <row r="948">
      <c r="A948" s="26" t="str">
        <f>IFERROR(__xludf.DUMMYFUNCTION("""COMPUTED_VALUE"""),"CA-2015-124268")</f>
        <v>CA-2015-124268</v>
      </c>
      <c r="B948" s="27">
        <f>IFERROR(__xludf.DUMMYFUNCTION("""COMPUTED_VALUE"""),42189.0)</f>
        <v>42189</v>
      </c>
      <c r="C948" s="26" t="str">
        <f>IFERROR(__xludf.DUMMYFUNCTION("""COMPUTED_VALUE"""),"Alan Dominguez")</f>
        <v>Alan Dominguez</v>
      </c>
      <c r="D948" s="26" t="str">
        <f>IFERROR(__xludf.DUMMYFUNCTION("""COMPUTED_VALUE"""),"Home Office")</f>
        <v>Home Office</v>
      </c>
      <c r="E948" s="26" t="str">
        <f>IFERROR(__xludf.DUMMYFUNCTION("""COMPUTED_VALUE"""),"East")</f>
        <v>East</v>
      </c>
      <c r="F948" s="26">
        <f>IFERROR(__xludf.DUMMYFUNCTION("""COMPUTED_VALUE"""),15.48)</f>
        <v>15.48</v>
      </c>
      <c r="G948" s="26">
        <f>IFERROR(__xludf.DUMMYFUNCTION("""COMPUTED_VALUE"""),3.0)</f>
        <v>3</v>
      </c>
      <c r="H948" s="26">
        <f>IFERROR(__xludf.DUMMYFUNCTION("""COMPUTED_VALUE"""),4.4892)</f>
        <v>4.4892</v>
      </c>
    </row>
    <row r="949">
      <c r="A949" s="26" t="str">
        <f>IFERROR(__xludf.DUMMYFUNCTION("""COMPUTED_VALUE"""),"CA-2015-120439")</f>
        <v>CA-2015-120439</v>
      </c>
      <c r="B949" s="27">
        <f>IFERROR(__xludf.DUMMYFUNCTION("""COMPUTED_VALUE"""),42169.0)</f>
        <v>42169</v>
      </c>
      <c r="C949" s="26" t="str">
        <f>IFERROR(__xludf.DUMMYFUNCTION("""COMPUTED_VALUE"""),"Alan Dominguez")</f>
        <v>Alan Dominguez</v>
      </c>
      <c r="D949" s="26" t="str">
        <f>IFERROR(__xludf.DUMMYFUNCTION("""COMPUTED_VALUE"""),"Home Office")</f>
        <v>Home Office</v>
      </c>
      <c r="E949" s="26" t="str">
        <f>IFERROR(__xludf.DUMMYFUNCTION("""COMPUTED_VALUE"""),"East")</f>
        <v>East</v>
      </c>
      <c r="F949" s="26">
        <f>IFERROR(__xludf.DUMMYFUNCTION("""COMPUTED_VALUE"""),51.072)</f>
        <v>51.072</v>
      </c>
      <c r="G949" s="26">
        <f>IFERROR(__xludf.DUMMYFUNCTION("""COMPUTED_VALUE"""),6.0)</f>
        <v>6</v>
      </c>
      <c r="H949" s="26">
        <f>IFERROR(__xludf.DUMMYFUNCTION("""COMPUTED_VALUE"""),5.1072)</f>
        <v>5.1072</v>
      </c>
    </row>
    <row r="950">
      <c r="A950" s="26" t="str">
        <f>IFERROR(__xludf.DUMMYFUNCTION("""COMPUTED_VALUE"""),"CA-2015-131758")</f>
        <v>CA-2015-131758</v>
      </c>
      <c r="B950" s="27">
        <f>IFERROR(__xludf.DUMMYFUNCTION("""COMPUTED_VALUE"""),42152.0)</f>
        <v>42152</v>
      </c>
      <c r="C950" s="26" t="str">
        <f>IFERROR(__xludf.DUMMYFUNCTION("""COMPUTED_VALUE"""),"Karl Braun")</f>
        <v>Karl Braun</v>
      </c>
      <c r="D950" s="26" t="str">
        <f>IFERROR(__xludf.DUMMYFUNCTION("""COMPUTED_VALUE"""),"Consumer")</f>
        <v>Consumer</v>
      </c>
      <c r="E950" s="26" t="str">
        <f>IFERROR(__xludf.DUMMYFUNCTION("""COMPUTED_VALUE"""),"East")</f>
        <v>East</v>
      </c>
      <c r="F950" s="26">
        <f>IFERROR(__xludf.DUMMYFUNCTION("""COMPUTED_VALUE"""),47.82)</f>
        <v>47.82</v>
      </c>
      <c r="G950" s="26">
        <f>IFERROR(__xludf.DUMMYFUNCTION("""COMPUTED_VALUE"""),3.0)</f>
        <v>3</v>
      </c>
      <c r="H950" s="26">
        <f>IFERROR(__xludf.DUMMYFUNCTION("""COMPUTED_VALUE"""),14.346)</f>
        <v>14.346</v>
      </c>
    </row>
    <row r="951">
      <c r="A951" s="26" t="str">
        <f>IFERROR(__xludf.DUMMYFUNCTION("""COMPUTED_VALUE"""),"CA-2015-111297")</f>
        <v>CA-2015-111297</v>
      </c>
      <c r="B951" s="27">
        <f>IFERROR(__xludf.DUMMYFUNCTION("""COMPUTED_VALUE"""),42233.0)</f>
        <v>42233</v>
      </c>
      <c r="C951" s="26" t="str">
        <f>IFERROR(__xludf.DUMMYFUNCTION("""COMPUTED_VALUE"""),"Shaun Chance")</f>
        <v>Shaun Chance</v>
      </c>
      <c r="D951" s="26" t="str">
        <f>IFERROR(__xludf.DUMMYFUNCTION("""COMPUTED_VALUE"""),"Corporate")</f>
        <v>Corporate</v>
      </c>
      <c r="E951" s="26" t="str">
        <f>IFERROR(__xludf.DUMMYFUNCTION("""COMPUTED_VALUE"""),"East")</f>
        <v>East</v>
      </c>
      <c r="F951" s="26">
        <f>IFERROR(__xludf.DUMMYFUNCTION("""COMPUTED_VALUE"""),52.2)</f>
        <v>52.2</v>
      </c>
      <c r="G951" s="26">
        <f>IFERROR(__xludf.DUMMYFUNCTION("""COMPUTED_VALUE"""),9.0)</f>
        <v>9</v>
      </c>
      <c r="H951" s="26">
        <f>IFERROR(__xludf.DUMMYFUNCTION("""COMPUTED_VALUE"""),23.49)</f>
        <v>23.49</v>
      </c>
    </row>
    <row r="952">
      <c r="A952" s="26" t="str">
        <f>IFERROR(__xludf.DUMMYFUNCTION("""COMPUTED_VALUE"""),"US-2015-161466")</f>
        <v>US-2015-161466</v>
      </c>
      <c r="B952" s="27">
        <f>IFERROR(__xludf.DUMMYFUNCTION("""COMPUTED_VALUE"""),42271.0)</f>
        <v>42271</v>
      </c>
      <c r="C952" s="26" t="str">
        <f>IFERROR(__xludf.DUMMYFUNCTION("""COMPUTED_VALUE"""),"Odella Nelson")</f>
        <v>Odella Nelson</v>
      </c>
      <c r="D952" s="26" t="str">
        <f>IFERROR(__xludf.DUMMYFUNCTION("""COMPUTED_VALUE"""),"Corporate")</f>
        <v>Corporate</v>
      </c>
      <c r="E952" s="26" t="str">
        <f>IFERROR(__xludf.DUMMYFUNCTION("""COMPUTED_VALUE"""),"East")</f>
        <v>East</v>
      </c>
      <c r="F952" s="26">
        <f>IFERROR(__xludf.DUMMYFUNCTION("""COMPUTED_VALUE"""),6.848)</f>
        <v>6.848</v>
      </c>
      <c r="G952" s="26">
        <f>IFERROR(__xludf.DUMMYFUNCTION("""COMPUTED_VALUE"""),2.0)</f>
        <v>2</v>
      </c>
      <c r="H952" s="26">
        <f>IFERROR(__xludf.DUMMYFUNCTION("""COMPUTED_VALUE"""),0.5992)</f>
        <v>0.5992</v>
      </c>
    </row>
    <row r="953">
      <c r="A953" s="26" t="str">
        <f>IFERROR(__xludf.DUMMYFUNCTION("""COMPUTED_VALUE"""),"CA-2015-148432")</f>
        <v>CA-2015-148432</v>
      </c>
      <c r="B953" s="27">
        <f>IFERROR(__xludf.DUMMYFUNCTION("""COMPUTED_VALUE"""),42315.0)</f>
        <v>42315</v>
      </c>
      <c r="C953" s="26" t="str">
        <f>IFERROR(__xludf.DUMMYFUNCTION("""COMPUTED_VALUE"""),"Mike Caudle")</f>
        <v>Mike Caudle</v>
      </c>
      <c r="D953" s="26" t="str">
        <f>IFERROR(__xludf.DUMMYFUNCTION("""COMPUTED_VALUE"""),"Corporate")</f>
        <v>Corporate</v>
      </c>
      <c r="E953" s="26" t="str">
        <f>IFERROR(__xludf.DUMMYFUNCTION("""COMPUTED_VALUE"""),"East")</f>
        <v>East</v>
      </c>
      <c r="F953" s="26">
        <f>IFERROR(__xludf.DUMMYFUNCTION("""COMPUTED_VALUE"""),26.18)</f>
        <v>26.18</v>
      </c>
      <c r="G953" s="26">
        <f>IFERROR(__xludf.DUMMYFUNCTION("""COMPUTED_VALUE"""),7.0)</f>
        <v>7</v>
      </c>
      <c r="H953" s="26">
        <f>IFERROR(__xludf.DUMMYFUNCTION("""COMPUTED_VALUE"""),0.5236)</f>
        <v>0.5236</v>
      </c>
    </row>
    <row r="954">
      <c r="A954" s="26" t="str">
        <f>IFERROR(__xludf.DUMMYFUNCTION("""COMPUTED_VALUE"""),"CA-2015-158554")</f>
        <v>CA-2015-158554</v>
      </c>
      <c r="B954" s="27">
        <f>IFERROR(__xludf.DUMMYFUNCTION("""COMPUTED_VALUE"""),42317.0)</f>
        <v>42317</v>
      </c>
      <c r="C954" s="26" t="str">
        <f>IFERROR(__xludf.DUMMYFUNCTION("""COMPUTED_VALUE"""),"Charlotte Melton")</f>
        <v>Charlotte Melton</v>
      </c>
      <c r="D954" s="26" t="str">
        <f>IFERROR(__xludf.DUMMYFUNCTION("""COMPUTED_VALUE"""),"Consumer")</f>
        <v>Consumer</v>
      </c>
      <c r="E954" s="26" t="str">
        <f>IFERROR(__xludf.DUMMYFUNCTION("""COMPUTED_VALUE"""),"East")</f>
        <v>East</v>
      </c>
      <c r="F954" s="26">
        <f>IFERROR(__xludf.DUMMYFUNCTION("""COMPUTED_VALUE"""),11.352)</f>
        <v>11.352</v>
      </c>
      <c r="G954" s="26">
        <f>IFERROR(__xludf.DUMMYFUNCTION("""COMPUTED_VALUE"""),3.0)</f>
        <v>3</v>
      </c>
      <c r="H954" s="26">
        <f>IFERROR(__xludf.DUMMYFUNCTION("""COMPUTED_VALUE"""),4.1151)</f>
        <v>4.1151</v>
      </c>
    </row>
    <row r="955">
      <c r="A955" s="26" t="str">
        <f>IFERROR(__xludf.DUMMYFUNCTION("""COMPUTED_VALUE"""),"CA-2015-131338")</f>
        <v>CA-2015-131338</v>
      </c>
      <c r="B955" s="27">
        <f>IFERROR(__xludf.DUMMYFUNCTION("""COMPUTED_VALUE"""),42225.0)</f>
        <v>42225</v>
      </c>
      <c r="C955" s="26" t="str">
        <f>IFERROR(__xludf.DUMMYFUNCTION("""COMPUTED_VALUE"""),"Naresj Patel")</f>
        <v>Naresj Patel</v>
      </c>
      <c r="D955" s="26" t="str">
        <f>IFERROR(__xludf.DUMMYFUNCTION("""COMPUTED_VALUE"""),"Consumer")</f>
        <v>Consumer</v>
      </c>
      <c r="E955" s="26" t="str">
        <f>IFERROR(__xludf.DUMMYFUNCTION("""COMPUTED_VALUE"""),"East")</f>
        <v>East</v>
      </c>
      <c r="F955" s="26">
        <f>IFERROR(__xludf.DUMMYFUNCTION("""COMPUTED_VALUE"""),307.98)</f>
        <v>307.98</v>
      </c>
      <c r="G955" s="26">
        <f>IFERROR(__xludf.DUMMYFUNCTION("""COMPUTED_VALUE"""),2.0)</f>
        <v>2</v>
      </c>
      <c r="H955" s="26">
        <f>IFERROR(__xludf.DUMMYFUNCTION("""COMPUTED_VALUE"""),89.3142)</f>
        <v>89.3142</v>
      </c>
    </row>
    <row r="956">
      <c r="A956" s="26" t="str">
        <f>IFERROR(__xludf.DUMMYFUNCTION("""COMPUTED_VALUE"""),"CA-2015-164539")</f>
        <v>CA-2015-164539</v>
      </c>
      <c r="B956" s="27">
        <f>IFERROR(__xludf.DUMMYFUNCTION("""COMPUTED_VALUE"""),42324.0)</f>
        <v>42324</v>
      </c>
      <c r="C956" s="26" t="str">
        <f>IFERROR(__xludf.DUMMYFUNCTION("""COMPUTED_VALUE"""),"Philisse Overcash")</f>
        <v>Philisse Overcash</v>
      </c>
      <c r="D956" s="26" t="str">
        <f>IFERROR(__xludf.DUMMYFUNCTION("""COMPUTED_VALUE"""),"Home Office")</f>
        <v>Home Office</v>
      </c>
      <c r="E956" s="26" t="str">
        <f>IFERROR(__xludf.DUMMYFUNCTION("""COMPUTED_VALUE"""),"East")</f>
        <v>East</v>
      </c>
      <c r="F956" s="26">
        <f>IFERROR(__xludf.DUMMYFUNCTION("""COMPUTED_VALUE"""),523.25)</f>
        <v>523.25</v>
      </c>
      <c r="G956" s="26">
        <f>IFERROR(__xludf.DUMMYFUNCTION("""COMPUTED_VALUE"""),5.0)</f>
        <v>5</v>
      </c>
      <c r="H956" s="26">
        <f>IFERROR(__xludf.DUMMYFUNCTION("""COMPUTED_VALUE"""),141.2775)</f>
        <v>141.2775</v>
      </c>
    </row>
    <row r="957">
      <c r="A957" s="26" t="str">
        <f>IFERROR(__xludf.DUMMYFUNCTION("""COMPUTED_VALUE"""),"CA-2015-105221")</f>
        <v>CA-2015-105221</v>
      </c>
      <c r="B957" s="27">
        <f>IFERROR(__xludf.DUMMYFUNCTION("""COMPUTED_VALUE"""),42309.0)</f>
        <v>42309</v>
      </c>
      <c r="C957" s="26" t="str">
        <f>IFERROR(__xludf.DUMMYFUNCTION("""COMPUTED_VALUE"""),"Valerie Mitchum")</f>
        <v>Valerie Mitchum</v>
      </c>
      <c r="D957" s="26" t="str">
        <f>IFERROR(__xludf.DUMMYFUNCTION("""COMPUTED_VALUE"""),"Home Office")</f>
        <v>Home Office</v>
      </c>
      <c r="E957" s="26" t="str">
        <f>IFERROR(__xludf.DUMMYFUNCTION("""COMPUTED_VALUE"""),"East")</f>
        <v>East</v>
      </c>
      <c r="F957" s="26">
        <f>IFERROR(__xludf.DUMMYFUNCTION("""COMPUTED_VALUE"""),35.36)</f>
        <v>35.36</v>
      </c>
      <c r="G957" s="26">
        <f>IFERROR(__xludf.DUMMYFUNCTION("""COMPUTED_VALUE"""),2.0)</f>
        <v>2</v>
      </c>
      <c r="H957" s="26">
        <f>IFERROR(__xludf.DUMMYFUNCTION("""COMPUTED_VALUE"""),-3.094)</f>
        <v>-3.094</v>
      </c>
    </row>
    <row r="958">
      <c r="A958" s="26" t="str">
        <f>IFERROR(__xludf.DUMMYFUNCTION("""COMPUTED_VALUE"""),"CA-2015-120341")</f>
        <v>CA-2015-120341</v>
      </c>
      <c r="B958" s="27">
        <f>IFERROR(__xludf.DUMMYFUNCTION("""COMPUTED_VALUE"""),42273.0)</f>
        <v>42273</v>
      </c>
      <c r="C958" s="26" t="str">
        <f>IFERROR(__xludf.DUMMYFUNCTION("""COMPUTED_VALUE"""),"Sarah Foster")</f>
        <v>Sarah Foster</v>
      </c>
      <c r="D958" s="26" t="str">
        <f>IFERROR(__xludf.DUMMYFUNCTION("""COMPUTED_VALUE"""),"Consumer")</f>
        <v>Consumer</v>
      </c>
      <c r="E958" s="26" t="str">
        <f>IFERROR(__xludf.DUMMYFUNCTION("""COMPUTED_VALUE"""),"East")</f>
        <v>East</v>
      </c>
      <c r="F958" s="26">
        <f>IFERROR(__xludf.DUMMYFUNCTION("""COMPUTED_VALUE"""),121.104)</f>
        <v>121.104</v>
      </c>
      <c r="G958" s="26">
        <f>IFERROR(__xludf.DUMMYFUNCTION("""COMPUTED_VALUE"""),6.0)</f>
        <v>6</v>
      </c>
      <c r="H958" s="26">
        <f>IFERROR(__xludf.DUMMYFUNCTION("""COMPUTED_VALUE"""),-100.92)</f>
        <v>-100.92</v>
      </c>
    </row>
    <row r="959">
      <c r="A959" s="26" t="str">
        <f>IFERROR(__xludf.DUMMYFUNCTION("""COMPUTED_VALUE"""),"US-2015-157154")</f>
        <v>US-2015-157154</v>
      </c>
      <c r="B959" s="27">
        <f>IFERROR(__xludf.DUMMYFUNCTION("""COMPUTED_VALUE"""),42014.0)</f>
        <v>42014</v>
      </c>
      <c r="C959" s="26" t="str">
        <f>IFERROR(__xludf.DUMMYFUNCTION("""COMPUTED_VALUE"""),"Michael Moore")</f>
        <v>Michael Moore</v>
      </c>
      <c r="D959" s="26" t="str">
        <f>IFERROR(__xludf.DUMMYFUNCTION("""COMPUTED_VALUE"""),"Consumer")</f>
        <v>Consumer</v>
      </c>
      <c r="E959" s="26" t="str">
        <f>IFERROR(__xludf.DUMMYFUNCTION("""COMPUTED_VALUE"""),"East")</f>
        <v>East</v>
      </c>
      <c r="F959" s="26">
        <f>IFERROR(__xludf.DUMMYFUNCTION("""COMPUTED_VALUE"""),1018.104)</f>
        <v>1018.104</v>
      </c>
      <c r="G959" s="26">
        <f>IFERROR(__xludf.DUMMYFUNCTION("""COMPUTED_VALUE"""),4.0)</f>
        <v>4</v>
      </c>
      <c r="H959" s="26">
        <f>IFERROR(__xludf.DUMMYFUNCTION("""COMPUTED_VALUE"""),-373.3048)</f>
        <v>-373.3048</v>
      </c>
    </row>
    <row r="960">
      <c r="A960" s="26" t="str">
        <f>IFERROR(__xludf.DUMMYFUNCTION("""COMPUTED_VALUE"""),"CA-2015-156335")</f>
        <v>CA-2015-156335</v>
      </c>
      <c r="B960" s="27">
        <f>IFERROR(__xludf.DUMMYFUNCTION("""COMPUTED_VALUE"""),42272.0)</f>
        <v>42272</v>
      </c>
      <c r="C960" s="26" t="str">
        <f>IFERROR(__xludf.DUMMYFUNCTION("""COMPUTED_VALUE"""),"Phillina Ober")</f>
        <v>Phillina Ober</v>
      </c>
      <c r="D960" s="26" t="str">
        <f>IFERROR(__xludf.DUMMYFUNCTION("""COMPUTED_VALUE"""),"Home Office")</f>
        <v>Home Office</v>
      </c>
      <c r="E960" s="26" t="str">
        <f>IFERROR(__xludf.DUMMYFUNCTION("""COMPUTED_VALUE"""),"East")</f>
        <v>East</v>
      </c>
      <c r="F960" s="26">
        <f>IFERROR(__xludf.DUMMYFUNCTION("""COMPUTED_VALUE"""),63.96)</f>
        <v>63.96</v>
      </c>
      <c r="G960" s="26">
        <f>IFERROR(__xludf.DUMMYFUNCTION("""COMPUTED_VALUE"""),4.0)</f>
        <v>4</v>
      </c>
      <c r="H960" s="26">
        <f>IFERROR(__xludf.DUMMYFUNCTION("""COMPUTED_VALUE"""),19.8276)</f>
        <v>19.8276</v>
      </c>
    </row>
    <row r="961">
      <c r="A961" s="26" t="str">
        <f>IFERROR(__xludf.DUMMYFUNCTION("""COMPUTED_VALUE"""),"CA-2015-114069")</f>
        <v>CA-2015-114069</v>
      </c>
      <c r="B961" s="27">
        <f>IFERROR(__xludf.DUMMYFUNCTION("""COMPUTED_VALUE"""),42198.0)</f>
        <v>42198</v>
      </c>
      <c r="C961" s="26" t="str">
        <f>IFERROR(__xludf.DUMMYFUNCTION("""COMPUTED_VALUE"""),"Natalie DeCherney")</f>
        <v>Natalie DeCherney</v>
      </c>
      <c r="D961" s="26" t="str">
        <f>IFERROR(__xludf.DUMMYFUNCTION("""COMPUTED_VALUE"""),"Consumer")</f>
        <v>Consumer</v>
      </c>
      <c r="E961" s="26" t="str">
        <f>IFERROR(__xludf.DUMMYFUNCTION("""COMPUTED_VALUE"""),"East")</f>
        <v>East</v>
      </c>
      <c r="F961" s="26">
        <f>IFERROR(__xludf.DUMMYFUNCTION("""COMPUTED_VALUE"""),11.808)</f>
        <v>11.808</v>
      </c>
      <c r="G961" s="26">
        <f>IFERROR(__xludf.DUMMYFUNCTION("""COMPUTED_VALUE"""),2.0)</f>
        <v>2</v>
      </c>
      <c r="H961" s="26">
        <f>IFERROR(__xludf.DUMMYFUNCTION("""COMPUTED_VALUE"""),4.2804)</f>
        <v>4.2804</v>
      </c>
    </row>
    <row r="962">
      <c r="A962" s="26" t="str">
        <f>IFERROR(__xludf.DUMMYFUNCTION("""COMPUTED_VALUE"""),"CA-2015-100545")</f>
        <v>CA-2015-100545</v>
      </c>
      <c r="B962" s="27">
        <f>IFERROR(__xludf.DUMMYFUNCTION("""COMPUTED_VALUE"""),42330.0)</f>
        <v>42330</v>
      </c>
      <c r="C962" s="26" t="str">
        <f>IFERROR(__xludf.DUMMYFUNCTION("""COMPUTED_VALUE"""),"Irene Maddox")</f>
        <v>Irene Maddox</v>
      </c>
      <c r="D962" s="26" t="str">
        <f>IFERROR(__xludf.DUMMYFUNCTION("""COMPUTED_VALUE"""),"Consumer")</f>
        <v>Consumer</v>
      </c>
      <c r="E962" s="26" t="str">
        <f>IFERROR(__xludf.DUMMYFUNCTION("""COMPUTED_VALUE"""),"East")</f>
        <v>East</v>
      </c>
      <c r="F962" s="26">
        <f>IFERROR(__xludf.DUMMYFUNCTION("""COMPUTED_VALUE"""),11.61)</f>
        <v>11.61</v>
      </c>
      <c r="G962" s="26">
        <f>IFERROR(__xludf.DUMMYFUNCTION("""COMPUTED_VALUE"""),2.0)</f>
        <v>2</v>
      </c>
      <c r="H962" s="26">
        <f>IFERROR(__xludf.DUMMYFUNCTION("""COMPUTED_VALUE"""),-9.288)</f>
        <v>-9.288</v>
      </c>
    </row>
    <row r="963">
      <c r="A963" s="26" t="str">
        <f>IFERROR(__xludf.DUMMYFUNCTION("""COMPUTED_VALUE"""),"CA-2015-127453")</f>
        <v>CA-2015-127453</v>
      </c>
      <c r="B963" s="27">
        <f>IFERROR(__xludf.DUMMYFUNCTION("""COMPUTED_VALUE"""),42357.0)</f>
        <v>42357</v>
      </c>
      <c r="C963" s="26" t="str">
        <f>IFERROR(__xludf.DUMMYFUNCTION("""COMPUTED_VALUE"""),"Jay Kimmel")</f>
        <v>Jay Kimmel</v>
      </c>
      <c r="D963" s="26" t="str">
        <f>IFERROR(__xludf.DUMMYFUNCTION("""COMPUTED_VALUE"""),"Consumer")</f>
        <v>Consumer</v>
      </c>
      <c r="E963" s="26" t="str">
        <f>IFERROR(__xludf.DUMMYFUNCTION("""COMPUTED_VALUE"""),"East")</f>
        <v>East</v>
      </c>
      <c r="F963" s="26">
        <f>IFERROR(__xludf.DUMMYFUNCTION("""COMPUTED_VALUE"""),434.352)</f>
        <v>434.352</v>
      </c>
      <c r="G963" s="26">
        <f>IFERROR(__xludf.DUMMYFUNCTION("""COMPUTED_VALUE"""),3.0)</f>
        <v>3</v>
      </c>
      <c r="H963" s="26">
        <f>IFERROR(__xludf.DUMMYFUNCTION("""COMPUTED_VALUE"""),43.4352)</f>
        <v>43.4352</v>
      </c>
    </row>
    <row r="964">
      <c r="A964" s="26" t="str">
        <f>IFERROR(__xludf.DUMMYFUNCTION("""COMPUTED_VALUE"""),"CA-2015-111094")</f>
        <v>CA-2015-111094</v>
      </c>
      <c r="B964" s="27">
        <f>IFERROR(__xludf.DUMMYFUNCTION("""COMPUTED_VALUE"""),42194.0)</f>
        <v>42194</v>
      </c>
      <c r="C964" s="26" t="str">
        <f>IFERROR(__xludf.DUMMYFUNCTION("""COMPUTED_VALUE"""),"Claudia Bergmann")</f>
        <v>Claudia Bergmann</v>
      </c>
      <c r="D964" s="26" t="str">
        <f>IFERROR(__xludf.DUMMYFUNCTION("""COMPUTED_VALUE"""),"Corporate")</f>
        <v>Corporate</v>
      </c>
      <c r="E964" s="26" t="str">
        <f>IFERROR(__xludf.DUMMYFUNCTION("""COMPUTED_VALUE"""),"East")</f>
        <v>East</v>
      </c>
      <c r="F964" s="26">
        <f>IFERROR(__xludf.DUMMYFUNCTION("""COMPUTED_VALUE"""),6.58)</f>
        <v>6.58</v>
      </c>
      <c r="G964" s="26">
        <f>IFERROR(__xludf.DUMMYFUNCTION("""COMPUTED_VALUE"""),2.0)</f>
        <v>2</v>
      </c>
      <c r="H964" s="26">
        <f>IFERROR(__xludf.DUMMYFUNCTION("""COMPUTED_VALUE"""),3.0268)</f>
        <v>3.0268</v>
      </c>
    </row>
    <row r="965">
      <c r="A965" s="26" t="str">
        <f>IFERROR(__xludf.DUMMYFUNCTION("""COMPUTED_VALUE"""),"CA-2015-121608")</f>
        <v>CA-2015-121608</v>
      </c>
      <c r="B965" s="27">
        <f>IFERROR(__xludf.DUMMYFUNCTION("""COMPUTED_VALUE"""),42250.0)</f>
        <v>42250</v>
      </c>
      <c r="C965" s="26" t="str">
        <f>IFERROR(__xludf.DUMMYFUNCTION("""COMPUTED_VALUE"""),"Jennifer Braxton")</f>
        <v>Jennifer Braxton</v>
      </c>
      <c r="D965" s="26" t="str">
        <f>IFERROR(__xludf.DUMMYFUNCTION("""COMPUTED_VALUE"""),"Corporate")</f>
        <v>Corporate</v>
      </c>
      <c r="E965" s="26" t="str">
        <f>IFERROR(__xludf.DUMMYFUNCTION("""COMPUTED_VALUE"""),"East")</f>
        <v>East</v>
      </c>
      <c r="F965" s="26">
        <f>IFERROR(__xludf.DUMMYFUNCTION("""COMPUTED_VALUE"""),137.62)</f>
        <v>137.62</v>
      </c>
      <c r="G965" s="26">
        <f>IFERROR(__xludf.DUMMYFUNCTION("""COMPUTED_VALUE"""),2.0)</f>
        <v>2</v>
      </c>
      <c r="H965" s="26">
        <f>IFERROR(__xludf.DUMMYFUNCTION("""COMPUTED_VALUE"""),60.5528)</f>
        <v>60.5528</v>
      </c>
    </row>
    <row r="966">
      <c r="A966" s="26" t="str">
        <f>IFERROR(__xludf.DUMMYFUNCTION("""COMPUTED_VALUE"""),"CA-2015-127110")</f>
        <v>CA-2015-127110</v>
      </c>
      <c r="B966" s="27">
        <f>IFERROR(__xludf.DUMMYFUNCTION("""COMPUTED_VALUE"""),42180.0)</f>
        <v>42180</v>
      </c>
      <c r="C966" s="26" t="str">
        <f>IFERROR(__xludf.DUMMYFUNCTION("""COMPUTED_VALUE"""),"Cathy Hwang")</f>
        <v>Cathy Hwang</v>
      </c>
      <c r="D966" s="26" t="str">
        <f>IFERROR(__xludf.DUMMYFUNCTION("""COMPUTED_VALUE"""),"Home Office")</f>
        <v>Home Office</v>
      </c>
      <c r="E966" s="26" t="str">
        <f>IFERROR(__xludf.DUMMYFUNCTION("""COMPUTED_VALUE"""),"East")</f>
        <v>East</v>
      </c>
      <c r="F966" s="26">
        <f>IFERROR(__xludf.DUMMYFUNCTION("""COMPUTED_VALUE"""),31.104)</f>
        <v>31.104</v>
      </c>
      <c r="G966" s="26">
        <f>IFERROR(__xludf.DUMMYFUNCTION("""COMPUTED_VALUE"""),6.0)</f>
        <v>6</v>
      </c>
      <c r="H966" s="26">
        <f>IFERROR(__xludf.DUMMYFUNCTION("""COMPUTED_VALUE"""),10.8864)</f>
        <v>10.8864</v>
      </c>
    </row>
    <row r="967">
      <c r="A967" s="26" t="str">
        <f>IFERROR(__xludf.DUMMYFUNCTION("""COMPUTED_VALUE"""),"CA-2015-109512")</f>
        <v>CA-2015-109512</v>
      </c>
      <c r="B967" s="27">
        <f>IFERROR(__xludf.DUMMYFUNCTION("""COMPUTED_VALUE"""),42068.0)</f>
        <v>42068</v>
      </c>
      <c r="C967" s="26" t="str">
        <f>IFERROR(__xludf.DUMMYFUNCTION("""COMPUTED_VALUE"""),"Luke Foster")</f>
        <v>Luke Foster</v>
      </c>
      <c r="D967" s="26" t="str">
        <f>IFERROR(__xludf.DUMMYFUNCTION("""COMPUTED_VALUE"""),"Consumer")</f>
        <v>Consumer</v>
      </c>
      <c r="E967" s="26" t="str">
        <f>IFERROR(__xludf.DUMMYFUNCTION("""COMPUTED_VALUE"""),"East")</f>
        <v>East</v>
      </c>
      <c r="F967" s="26">
        <f>IFERROR(__xludf.DUMMYFUNCTION("""COMPUTED_VALUE"""),29.34)</f>
        <v>29.34</v>
      </c>
      <c r="G967" s="26">
        <f>IFERROR(__xludf.DUMMYFUNCTION("""COMPUTED_VALUE"""),3.0)</f>
        <v>3</v>
      </c>
      <c r="H967" s="26">
        <f>IFERROR(__xludf.DUMMYFUNCTION("""COMPUTED_VALUE"""),14.67)</f>
        <v>14.67</v>
      </c>
    </row>
    <row r="968">
      <c r="A968" s="26" t="str">
        <f>IFERROR(__xludf.DUMMYFUNCTION("""COMPUTED_VALUE"""),"CA-2015-105634")</f>
        <v>CA-2015-105634</v>
      </c>
      <c r="B968" s="27">
        <f>IFERROR(__xludf.DUMMYFUNCTION("""COMPUTED_VALUE"""),42316.0)</f>
        <v>42316</v>
      </c>
      <c r="C968" s="26" t="str">
        <f>IFERROR(__xludf.DUMMYFUNCTION("""COMPUTED_VALUE"""),"Helen Abelman")</f>
        <v>Helen Abelman</v>
      </c>
      <c r="D968" s="26" t="str">
        <f>IFERROR(__xludf.DUMMYFUNCTION("""COMPUTED_VALUE"""),"Consumer")</f>
        <v>Consumer</v>
      </c>
      <c r="E968" s="26" t="str">
        <f>IFERROR(__xludf.DUMMYFUNCTION("""COMPUTED_VALUE"""),"East")</f>
        <v>East</v>
      </c>
      <c r="F968" s="26">
        <f>IFERROR(__xludf.DUMMYFUNCTION("""COMPUTED_VALUE"""),11.65)</f>
        <v>11.65</v>
      </c>
      <c r="G968" s="26">
        <f>IFERROR(__xludf.DUMMYFUNCTION("""COMPUTED_VALUE"""),5.0)</f>
        <v>5</v>
      </c>
      <c r="H968" s="26">
        <f>IFERROR(__xludf.DUMMYFUNCTION("""COMPUTED_VALUE"""),3.3785)</f>
        <v>3.3785</v>
      </c>
    </row>
    <row r="969">
      <c r="A969" s="26" t="str">
        <f>IFERROR(__xludf.DUMMYFUNCTION("""COMPUTED_VALUE"""),"CA-2015-125178")</f>
        <v>CA-2015-125178</v>
      </c>
      <c r="B969" s="27">
        <f>IFERROR(__xludf.DUMMYFUNCTION("""COMPUTED_VALUE"""),42280.0)</f>
        <v>42280</v>
      </c>
      <c r="C969" s="26" t="str">
        <f>IFERROR(__xludf.DUMMYFUNCTION("""COMPUTED_VALUE"""),"Mary Zewe")</f>
        <v>Mary Zewe</v>
      </c>
      <c r="D969" s="26" t="str">
        <f>IFERROR(__xludf.DUMMYFUNCTION("""COMPUTED_VALUE"""),"Corporate")</f>
        <v>Corporate</v>
      </c>
      <c r="E969" s="26" t="str">
        <f>IFERROR(__xludf.DUMMYFUNCTION("""COMPUTED_VALUE"""),"East")</f>
        <v>East</v>
      </c>
      <c r="F969" s="26">
        <f>IFERROR(__xludf.DUMMYFUNCTION("""COMPUTED_VALUE"""),15.008)</f>
        <v>15.008</v>
      </c>
      <c r="G969" s="26">
        <f>IFERROR(__xludf.DUMMYFUNCTION("""COMPUTED_VALUE"""),2.0)</f>
        <v>2</v>
      </c>
      <c r="H969" s="26">
        <f>IFERROR(__xludf.DUMMYFUNCTION("""COMPUTED_VALUE"""),1.5008)</f>
        <v>1.5008</v>
      </c>
    </row>
    <row r="970">
      <c r="A970" s="26" t="str">
        <f>IFERROR(__xludf.DUMMYFUNCTION("""COMPUTED_VALUE"""),"CA-2015-117961")</f>
        <v>CA-2015-117961</v>
      </c>
      <c r="B970" s="27">
        <f>IFERROR(__xludf.DUMMYFUNCTION("""COMPUTED_VALUE"""),42334.0)</f>
        <v>42334</v>
      </c>
      <c r="C970" s="26" t="str">
        <f>IFERROR(__xludf.DUMMYFUNCTION("""COMPUTED_VALUE"""),"Guy Phonely")</f>
        <v>Guy Phonely</v>
      </c>
      <c r="D970" s="26" t="str">
        <f>IFERROR(__xludf.DUMMYFUNCTION("""COMPUTED_VALUE"""),"Corporate")</f>
        <v>Corporate</v>
      </c>
      <c r="E970" s="26" t="str">
        <f>IFERROR(__xludf.DUMMYFUNCTION("""COMPUTED_VALUE"""),"East")</f>
        <v>East</v>
      </c>
      <c r="F970" s="26">
        <f>IFERROR(__xludf.DUMMYFUNCTION("""COMPUTED_VALUE"""),14.73)</f>
        <v>14.73</v>
      </c>
      <c r="G970" s="26">
        <f>IFERROR(__xludf.DUMMYFUNCTION("""COMPUTED_VALUE"""),3.0)</f>
        <v>3</v>
      </c>
      <c r="H970" s="26">
        <f>IFERROR(__xludf.DUMMYFUNCTION("""COMPUTED_VALUE"""),6.9231)</f>
        <v>6.9231</v>
      </c>
    </row>
    <row r="971">
      <c r="A971" s="26" t="str">
        <f>IFERROR(__xludf.DUMMYFUNCTION("""COMPUTED_VALUE"""),"CA-2015-142237")</f>
        <v>CA-2015-142237</v>
      </c>
      <c r="B971" s="27">
        <f>IFERROR(__xludf.DUMMYFUNCTION("""COMPUTED_VALUE"""),42196.0)</f>
        <v>42196</v>
      </c>
      <c r="C971" s="26" t="str">
        <f>IFERROR(__xludf.DUMMYFUNCTION("""COMPUTED_VALUE"""),"Clytie Kelty")</f>
        <v>Clytie Kelty</v>
      </c>
      <c r="D971" s="26" t="str">
        <f>IFERROR(__xludf.DUMMYFUNCTION("""COMPUTED_VALUE"""),"Consumer")</f>
        <v>Consumer</v>
      </c>
      <c r="E971" s="26" t="str">
        <f>IFERROR(__xludf.DUMMYFUNCTION("""COMPUTED_VALUE"""),"East")</f>
        <v>East</v>
      </c>
      <c r="F971" s="26">
        <f>IFERROR(__xludf.DUMMYFUNCTION("""COMPUTED_VALUE"""),289.8)</f>
        <v>289.8</v>
      </c>
      <c r="G971" s="26">
        <f>IFERROR(__xludf.DUMMYFUNCTION("""COMPUTED_VALUE"""),7.0)</f>
        <v>7</v>
      </c>
      <c r="H971" s="26">
        <f>IFERROR(__xludf.DUMMYFUNCTION("""COMPUTED_VALUE"""),36.225)</f>
        <v>36.225</v>
      </c>
    </row>
    <row r="972">
      <c r="A972" s="26" t="str">
        <f>IFERROR(__xludf.DUMMYFUNCTION("""COMPUTED_VALUE"""),"CA-2015-159786")</f>
        <v>CA-2015-159786</v>
      </c>
      <c r="B972" s="27">
        <f>IFERROR(__xludf.DUMMYFUNCTION("""COMPUTED_VALUE"""),42289.0)</f>
        <v>42289</v>
      </c>
      <c r="C972" s="26" t="str">
        <f>IFERROR(__xludf.DUMMYFUNCTION("""COMPUTED_VALUE"""),"Ralph Kennedy")</f>
        <v>Ralph Kennedy</v>
      </c>
      <c r="D972" s="26" t="str">
        <f>IFERROR(__xludf.DUMMYFUNCTION("""COMPUTED_VALUE"""),"Consumer")</f>
        <v>Consumer</v>
      </c>
      <c r="E972" s="26" t="str">
        <f>IFERROR(__xludf.DUMMYFUNCTION("""COMPUTED_VALUE"""),"East")</f>
        <v>East</v>
      </c>
      <c r="F972" s="26">
        <f>IFERROR(__xludf.DUMMYFUNCTION("""COMPUTED_VALUE"""),209.67)</f>
        <v>209.67</v>
      </c>
      <c r="G972" s="26">
        <f>IFERROR(__xludf.DUMMYFUNCTION("""COMPUTED_VALUE"""),1.0)</f>
        <v>1</v>
      </c>
      <c r="H972" s="26">
        <f>IFERROR(__xludf.DUMMYFUNCTION("""COMPUTED_VALUE"""),-13.978)</f>
        <v>-13.978</v>
      </c>
    </row>
    <row r="973">
      <c r="A973" s="26" t="str">
        <f>IFERROR(__xludf.DUMMYFUNCTION("""COMPUTED_VALUE"""),"CA-2015-134859")</f>
        <v>CA-2015-134859</v>
      </c>
      <c r="B973" s="27">
        <f>IFERROR(__xludf.DUMMYFUNCTION("""COMPUTED_VALUE"""),42281.0)</f>
        <v>42281</v>
      </c>
      <c r="C973" s="26" t="str">
        <f>IFERROR(__xludf.DUMMYFUNCTION("""COMPUTED_VALUE"""),"Julie Kriz")</f>
        <v>Julie Kriz</v>
      </c>
      <c r="D973" s="26" t="str">
        <f>IFERROR(__xludf.DUMMYFUNCTION("""COMPUTED_VALUE"""),"Home Office")</f>
        <v>Home Office</v>
      </c>
      <c r="E973" s="26" t="str">
        <f>IFERROR(__xludf.DUMMYFUNCTION("""COMPUTED_VALUE"""),"East")</f>
        <v>East</v>
      </c>
      <c r="F973" s="26">
        <f>IFERROR(__xludf.DUMMYFUNCTION("""COMPUTED_VALUE"""),64.944)</f>
        <v>64.944</v>
      </c>
      <c r="G973" s="26">
        <f>IFERROR(__xludf.DUMMYFUNCTION("""COMPUTED_VALUE"""),3.0)</f>
        <v>3</v>
      </c>
      <c r="H973" s="26">
        <f>IFERROR(__xludf.DUMMYFUNCTION("""COMPUTED_VALUE"""),6.4944)</f>
        <v>6.4944</v>
      </c>
    </row>
    <row r="974">
      <c r="A974" s="26" t="str">
        <f>IFERROR(__xludf.DUMMYFUNCTION("""COMPUTED_VALUE"""),"CA-2015-156524")</f>
        <v>CA-2015-156524</v>
      </c>
      <c r="B974" s="27">
        <f>IFERROR(__xludf.DUMMYFUNCTION("""COMPUTED_VALUE"""),42328.0)</f>
        <v>42328</v>
      </c>
      <c r="C974" s="26" t="str">
        <f>IFERROR(__xludf.DUMMYFUNCTION("""COMPUTED_VALUE"""),"Dan Lawera")</f>
        <v>Dan Lawera</v>
      </c>
      <c r="D974" s="26" t="str">
        <f>IFERROR(__xludf.DUMMYFUNCTION("""COMPUTED_VALUE"""),"Consumer")</f>
        <v>Consumer</v>
      </c>
      <c r="E974" s="26" t="str">
        <f>IFERROR(__xludf.DUMMYFUNCTION("""COMPUTED_VALUE"""),"East")</f>
        <v>East</v>
      </c>
      <c r="F974" s="26">
        <f>IFERROR(__xludf.DUMMYFUNCTION("""COMPUTED_VALUE"""),19.65)</f>
        <v>19.65</v>
      </c>
      <c r="G974" s="26">
        <f>IFERROR(__xludf.DUMMYFUNCTION("""COMPUTED_VALUE"""),3.0)</f>
        <v>3</v>
      </c>
      <c r="H974" s="26">
        <f>IFERROR(__xludf.DUMMYFUNCTION("""COMPUTED_VALUE"""),9.039)</f>
        <v>9.039</v>
      </c>
    </row>
    <row r="975">
      <c r="A975" s="26" t="str">
        <f>IFERROR(__xludf.DUMMYFUNCTION("""COMPUTED_VALUE"""),"CA-2015-122210")</f>
        <v>CA-2015-122210</v>
      </c>
      <c r="B975" s="27">
        <f>IFERROR(__xludf.DUMMYFUNCTION("""COMPUTED_VALUE"""),42338.0)</f>
        <v>42338</v>
      </c>
      <c r="C975" s="26" t="str">
        <f>IFERROR(__xludf.DUMMYFUNCTION("""COMPUTED_VALUE"""),"William Brown")</f>
        <v>William Brown</v>
      </c>
      <c r="D975" s="26" t="str">
        <f>IFERROR(__xludf.DUMMYFUNCTION("""COMPUTED_VALUE"""),"Consumer")</f>
        <v>Consumer</v>
      </c>
      <c r="E975" s="26" t="str">
        <f>IFERROR(__xludf.DUMMYFUNCTION("""COMPUTED_VALUE"""),"East")</f>
        <v>East</v>
      </c>
      <c r="F975" s="26">
        <f>IFERROR(__xludf.DUMMYFUNCTION("""COMPUTED_VALUE"""),152.991)</f>
        <v>152.991</v>
      </c>
      <c r="G975" s="26">
        <f>IFERROR(__xludf.DUMMYFUNCTION("""COMPUTED_VALUE"""),3.0)</f>
        <v>3</v>
      </c>
      <c r="H975" s="26">
        <f>IFERROR(__xludf.DUMMYFUNCTION("""COMPUTED_VALUE"""),-122.3928)</f>
        <v>-122.3928</v>
      </c>
    </row>
    <row r="976">
      <c r="A976" s="26" t="str">
        <f>IFERROR(__xludf.DUMMYFUNCTION("""COMPUTED_VALUE"""),"CA-2015-123505")</f>
        <v>CA-2015-123505</v>
      </c>
      <c r="B976" s="27">
        <f>IFERROR(__xludf.DUMMYFUNCTION("""COMPUTED_VALUE"""),42330.0)</f>
        <v>42330</v>
      </c>
      <c r="C976" s="26" t="str">
        <f>IFERROR(__xludf.DUMMYFUNCTION("""COMPUTED_VALUE"""),"Andy Reiter")</f>
        <v>Andy Reiter</v>
      </c>
      <c r="D976" s="26" t="str">
        <f>IFERROR(__xludf.DUMMYFUNCTION("""COMPUTED_VALUE"""),"Consumer")</f>
        <v>Consumer</v>
      </c>
      <c r="E976" s="26" t="str">
        <f>IFERROR(__xludf.DUMMYFUNCTION("""COMPUTED_VALUE"""),"East")</f>
        <v>East</v>
      </c>
      <c r="F976" s="26">
        <f>IFERROR(__xludf.DUMMYFUNCTION("""COMPUTED_VALUE"""),14.94)</f>
        <v>14.94</v>
      </c>
      <c r="G976" s="26">
        <f>IFERROR(__xludf.DUMMYFUNCTION("""COMPUTED_VALUE"""),3.0)</f>
        <v>3</v>
      </c>
      <c r="H976" s="26">
        <f>IFERROR(__xludf.DUMMYFUNCTION("""COMPUTED_VALUE"""),7.0218)</f>
        <v>7.0218</v>
      </c>
    </row>
    <row r="977">
      <c r="A977" s="26" t="str">
        <f>IFERROR(__xludf.DUMMYFUNCTION("""COMPUTED_VALUE"""),"CA-2015-135363")</f>
        <v>CA-2015-135363</v>
      </c>
      <c r="B977" s="27">
        <f>IFERROR(__xludf.DUMMYFUNCTION("""COMPUTED_VALUE"""),42091.0)</f>
        <v>42091</v>
      </c>
      <c r="C977" s="26" t="str">
        <f>IFERROR(__xludf.DUMMYFUNCTION("""COMPUTED_VALUE"""),"Chloris Kastensmidt")</f>
        <v>Chloris Kastensmidt</v>
      </c>
      <c r="D977" s="26" t="str">
        <f>IFERROR(__xludf.DUMMYFUNCTION("""COMPUTED_VALUE"""),"Consumer")</f>
        <v>Consumer</v>
      </c>
      <c r="E977" s="26" t="str">
        <f>IFERROR(__xludf.DUMMYFUNCTION("""COMPUTED_VALUE"""),"East")</f>
        <v>East</v>
      </c>
      <c r="F977" s="26">
        <f>IFERROR(__xludf.DUMMYFUNCTION("""COMPUTED_VALUE"""),15.552)</f>
        <v>15.552</v>
      </c>
      <c r="G977" s="26">
        <f>IFERROR(__xludf.DUMMYFUNCTION("""COMPUTED_VALUE"""),3.0)</f>
        <v>3</v>
      </c>
      <c r="H977" s="26">
        <f>IFERROR(__xludf.DUMMYFUNCTION("""COMPUTED_VALUE"""),5.4432)</f>
        <v>5.4432</v>
      </c>
    </row>
    <row r="978">
      <c r="A978" s="26" t="str">
        <f>IFERROR(__xludf.DUMMYFUNCTION("""COMPUTED_VALUE"""),"CA-2015-128860")</f>
        <v>CA-2015-128860</v>
      </c>
      <c r="B978" s="27">
        <f>IFERROR(__xludf.DUMMYFUNCTION("""COMPUTED_VALUE"""),42184.0)</f>
        <v>42184</v>
      </c>
      <c r="C978" s="26" t="str">
        <f>IFERROR(__xludf.DUMMYFUNCTION("""COMPUTED_VALUE"""),"Steven Cartwright")</f>
        <v>Steven Cartwright</v>
      </c>
      <c r="D978" s="26" t="str">
        <f>IFERROR(__xludf.DUMMYFUNCTION("""COMPUTED_VALUE"""),"Consumer")</f>
        <v>Consumer</v>
      </c>
      <c r="E978" s="26" t="str">
        <f>IFERROR(__xludf.DUMMYFUNCTION("""COMPUTED_VALUE"""),"East")</f>
        <v>East</v>
      </c>
      <c r="F978" s="26">
        <f>IFERROR(__xludf.DUMMYFUNCTION("""COMPUTED_VALUE"""),20.104)</f>
        <v>20.104</v>
      </c>
      <c r="G978" s="26">
        <f>IFERROR(__xludf.DUMMYFUNCTION("""COMPUTED_VALUE"""),1.0)</f>
        <v>1</v>
      </c>
      <c r="H978" s="26">
        <f>IFERROR(__xludf.DUMMYFUNCTION("""COMPUTED_VALUE"""),1.7591)</f>
        <v>1.7591</v>
      </c>
    </row>
    <row r="979">
      <c r="A979" s="26" t="str">
        <f>IFERROR(__xludf.DUMMYFUNCTION("""COMPUTED_VALUE"""),"CA-2015-129854")</f>
        <v>CA-2015-129854</v>
      </c>
      <c r="B979" s="27">
        <f>IFERROR(__xludf.DUMMYFUNCTION("""COMPUTED_VALUE"""),42238.0)</f>
        <v>42238</v>
      </c>
      <c r="C979" s="26" t="str">
        <f>IFERROR(__xludf.DUMMYFUNCTION("""COMPUTED_VALUE"""),"Roger Barcio")</f>
        <v>Roger Barcio</v>
      </c>
      <c r="D979" s="26" t="str">
        <f>IFERROR(__xludf.DUMMYFUNCTION("""COMPUTED_VALUE"""),"Home Office")</f>
        <v>Home Office</v>
      </c>
      <c r="E979" s="26" t="str">
        <f>IFERROR(__xludf.DUMMYFUNCTION("""COMPUTED_VALUE"""),"East")</f>
        <v>East</v>
      </c>
      <c r="F979" s="26">
        <f>IFERROR(__xludf.DUMMYFUNCTION("""COMPUTED_VALUE"""),16.52)</f>
        <v>16.52</v>
      </c>
      <c r="G979" s="26">
        <f>IFERROR(__xludf.DUMMYFUNCTION("""COMPUTED_VALUE"""),4.0)</f>
        <v>4</v>
      </c>
      <c r="H979" s="26">
        <f>IFERROR(__xludf.DUMMYFUNCTION("""COMPUTED_VALUE"""),7.5992)</f>
        <v>7.5992</v>
      </c>
    </row>
    <row r="980">
      <c r="A980" s="26" t="str">
        <f>IFERROR(__xludf.DUMMYFUNCTION("""COMPUTED_VALUE"""),"CA-2015-131884")</f>
        <v>CA-2015-131884</v>
      </c>
      <c r="B980" s="27">
        <f>IFERROR(__xludf.DUMMYFUNCTION("""COMPUTED_VALUE"""),42344.0)</f>
        <v>42344</v>
      </c>
      <c r="C980" s="26" t="str">
        <f>IFERROR(__xludf.DUMMYFUNCTION("""COMPUTED_VALUE"""),"Dennis Kane")</f>
        <v>Dennis Kane</v>
      </c>
      <c r="D980" s="26" t="str">
        <f>IFERROR(__xludf.DUMMYFUNCTION("""COMPUTED_VALUE"""),"Consumer")</f>
        <v>Consumer</v>
      </c>
      <c r="E980" s="26" t="str">
        <f>IFERROR(__xludf.DUMMYFUNCTION("""COMPUTED_VALUE"""),"East")</f>
        <v>East</v>
      </c>
      <c r="F980" s="26">
        <f>IFERROR(__xludf.DUMMYFUNCTION("""COMPUTED_VALUE"""),485.94)</f>
        <v>485.94</v>
      </c>
      <c r="G980" s="26">
        <f>IFERROR(__xludf.DUMMYFUNCTION("""COMPUTED_VALUE"""),2.0)</f>
        <v>2</v>
      </c>
      <c r="H980" s="26">
        <f>IFERROR(__xludf.DUMMYFUNCTION("""COMPUTED_VALUE"""),-89.089)</f>
        <v>-89.089</v>
      </c>
    </row>
    <row r="981">
      <c r="A981" s="26" t="str">
        <f>IFERROR(__xludf.DUMMYFUNCTION("""COMPUTED_VALUE"""),"US-2015-137960")</f>
        <v>US-2015-137960</v>
      </c>
      <c r="B981" s="27">
        <f>IFERROR(__xludf.DUMMYFUNCTION("""COMPUTED_VALUE"""),42356.0)</f>
        <v>42356</v>
      </c>
      <c r="C981" s="26" t="str">
        <f>IFERROR(__xludf.DUMMYFUNCTION("""COMPUTED_VALUE"""),"Mitch Webber")</f>
        <v>Mitch Webber</v>
      </c>
      <c r="D981" s="26" t="str">
        <f>IFERROR(__xludf.DUMMYFUNCTION("""COMPUTED_VALUE"""),"Consumer")</f>
        <v>Consumer</v>
      </c>
      <c r="E981" s="26" t="str">
        <f>IFERROR(__xludf.DUMMYFUNCTION("""COMPUTED_VALUE"""),"East")</f>
        <v>East</v>
      </c>
      <c r="F981" s="26">
        <f>IFERROR(__xludf.DUMMYFUNCTION("""COMPUTED_VALUE"""),166.24)</f>
        <v>166.24</v>
      </c>
      <c r="G981" s="26">
        <f>IFERROR(__xludf.DUMMYFUNCTION("""COMPUTED_VALUE"""),1.0)</f>
        <v>1</v>
      </c>
      <c r="H981" s="26">
        <f>IFERROR(__xludf.DUMMYFUNCTION("""COMPUTED_VALUE"""),24.936)</f>
        <v>24.936</v>
      </c>
    </row>
    <row r="982">
      <c r="A982" s="26" t="str">
        <f>IFERROR(__xludf.DUMMYFUNCTION("""COMPUTED_VALUE"""),"CA-2015-130995")</f>
        <v>CA-2015-130995</v>
      </c>
      <c r="B982" s="27">
        <f>IFERROR(__xludf.DUMMYFUNCTION("""COMPUTED_VALUE"""),42309.0)</f>
        <v>42309</v>
      </c>
      <c r="C982" s="26" t="str">
        <f>IFERROR(__xludf.DUMMYFUNCTION("""COMPUTED_VALUE"""),"Quincy Jones")</f>
        <v>Quincy Jones</v>
      </c>
      <c r="D982" s="26" t="str">
        <f>IFERROR(__xludf.DUMMYFUNCTION("""COMPUTED_VALUE"""),"Corporate")</f>
        <v>Corporate</v>
      </c>
      <c r="E982" s="26" t="str">
        <f>IFERROR(__xludf.DUMMYFUNCTION("""COMPUTED_VALUE"""),"East")</f>
        <v>East</v>
      </c>
      <c r="F982" s="26">
        <f>IFERROR(__xludf.DUMMYFUNCTION("""COMPUTED_VALUE"""),4.95)</f>
        <v>4.95</v>
      </c>
      <c r="G982" s="26">
        <f>IFERROR(__xludf.DUMMYFUNCTION("""COMPUTED_VALUE"""),1.0)</f>
        <v>1</v>
      </c>
      <c r="H982" s="26">
        <f>IFERROR(__xludf.DUMMYFUNCTION("""COMPUTED_VALUE"""),1.3365)</f>
        <v>1.3365</v>
      </c>
    </row>
    <row r="983">
      <c r="A983" s="26" t="str">
        <f>IFERROR(__xludf.DUMMYFUNCTION("""COMPUTED_VALUE"""),"CA-2015-113145")</f>
        <v>CA-2015-113145</v>
      </c>
      <c r="B983" s="27">
        <f>IFERROR(__xludf.DUMMYFUNCTION("""COMPUTED_VALUE"""),42309.0)</f>
        <v>42309</v>
      </c>
      <c r="C983" s="26" t="str">
        <f>IFERROR(__xludf.DUMMYFUNCTION("""COMPUTED_VALUE"""),"Valerie Dominguez")</f>
        <v>Valerie Dominguez</v>
      </c>
      <c r="D983" s="26" t="str">
        <f>IFERROR(__xludf.DUMMYFUNCTION("""COMPUTED_VALUE"""),"Consumer")</f>
        <v>Consumer</v>
      </c>
      <c r="E983" s="26" t="str">
        <f>IFERROR(__xludf.DUMMYFUNCTION("""COMPUTED_VALUE"""),"East")</f>
        <v>East</v>
      </c>
      <c r="F983" s="26">
        <f>IFERROR(__xludf.DUMMYFUNCTION("""COMPUTED_VALUE"""),13.52)</f>
        <v>13.52</v>
      </c>
      <c r="G983" s="26">
        <f>IFERROR(__xludf.DUMMYFUNCTION("""COMPUTED_VALUE"""),4.0)</f>
        <v>4</v>
      </c>
      <c r="H983" s="26">
        <f>IFERROR(__xludf.DUMMYFUNCTION("""COMPUTED_VALUE"""),6.2192)</f>
        <v>6.2192</v>
      </c>
    </row>
    <row r="984">
      <c r="A984" s="26" t="str">
        <f>IFERROR(__xludf.DUMMYFUNCTION("""COMPUTED_VALUE"""),"CA-2015-105102")</f>
        <v>CA-2015-105102</v>
      </c>
      <c r="B984" s="27">
        <f>IFERROR(__xludf.DUMMYFUNCTION("""COMPUTED_VALUE"""),42262.0)</f>
        <v>42262</v>
      </c>
      <c r="C984" s="26" t="str">
        <f>IFERROR(__xludf.DUMMYFUNCTION("""COMPUTED_VALUE"""),"Brendan Murry")</f>
        <v>Brendan Murry</v>
      </c>
      <c r="D984" s="26" t="str">
        <f>IFERROR(__xludf.DUMMYFUNCTION("""COMPUTED_VALUE"""),"Corporate")</f>
        <v>Corporate</v>
      </c>
      <c r="E984" s="26" t="str">
        <f>IFERROR(__xludf.DUMMYFUNCTION("""COMPUTED_VALUE"""),"East")</f>
        <v>East</v>
      </c>
      <c r="F984" s="26">
        <f>IFERROR(__xludf.DUMMYFUNCTION("""COMPUTED_VALUE"""),79.872)</f>
        <v>79.872</v>
      </c>
      <c r="G984" s="26">
        <f>IFERROR(__xludf.DUMMYFUNCTION("""COMPUTED_VALUE"""),3.0)</f>
        <v>3</v>
      </c>
      <c r="H984" s="26">
        <f>IFERROR(__xludf.DUMMYFUNCTION("""COMPUTED_VALUE"""),29.952)</f>
        <v>29.952</v>
      </c>
    </row>
    <row r="985">
      <c r="A985" s="26" t="str">
        <f>IFERROR(__xludf.DUMMYFUNCTION("""COMPUTED_VALUE"""),"US-2015-147739")</f>
        <v>US-2015-147739</v>
      </c>
      <c r="B985" s="27">
        <f>IFERROR(__xludf.DUMMYFUNCTION("""COMPUTED_VALUE"""),42363.0)</f>
        <v>42363</v>
      </c>
      <c r="C985" s="26" t="str">
        <f>IFERROR(__xludf.DUMMYFUNCTION("""COMPUTED_VALUE"""),"Justin Deggeller")</f>
        <v>Justin Deggeller</v>
      </c>
      <c r="D985" s="26" t="str">
        <f>IFERROR(__xludf.DUMMYFUNCTION("""COMPUTED_VALUE"""),"Corporate")</f>
        <v>Corporate</v>
      </c>
      <c r="E985" s="26" t="str">
        <f>IFERROR(__xludf.DUMMYFUNCTION("""COMPUTED_VALUE"""),"East")</f>
        <v>East</v>
      </c>
      <c r="F985" s="26">
        <f>IFERROR(__xludf.DUMMYFUNCTION("""COMPUTED_VALUE"""),547.136)</f>
        <v>547.136</v>
      </c>
      <c r="G985" s="26">
        <f>IFERROR(__xludf.DUMMYFUNCTION("""COMPUTED_VALUE"""),4.0)</f>
        <v>4</v>
      </c>
      <c r="H985" s="26">
        <f>IFERROR(__xludf.DUMMYFUNCTION("""COMPUTED_VALUE"""),-68.392)</f>
        <v>-68.392</v>
      </c>
    </row>
    <row r="986">
      <c r="A986" s="26" t="str">
        <f>IFERROR(__xludf.DUMMYFUNCTION("""COMPUTED_VALUE"""),"US-2015-127040")</f>
        <v>US-2015-127040</v>
      </c>
      <c r="B986" s="27">
        <f>IFERROR(__xludf.DUMMYFUNCTION("""COMPUTED_VALUE"""),42344.0)</f>
        <v>42344</v>
      </c>
      <c r="C986" s="26" t="str">
        <f>IFERROR(__xludf.DUMMYFUNCTION("""COMPUTED_VALUE"""),"Speros Goranitis")</f>
        <v>Speros Goranitis</v>
      </c>
      <c r="D986" s="26" t="str">
        <f>IFERROR(__xludf.DUMMYFUNCTION("""COMPUTED_VALUE"""),"Consumer")</f>
        <v>Consumer</v>
      </c>
      <c r="E986" s="26" t="str">
        <f>IFERROR(__xludf.DUMMYFUNCTION("""COMPUTED_VALUE"""),"East")</f>
        <v>East</v>
      </c>
      <c r="F986" s="26">
        <f>IFERROR(__xludf.DUMMYFUNCTION("""COMPUTED_VALUE"""),6.48)</f>
        <v>6.48</v>
      </c>
      <c r="G986" s="26">
        <f>IFERROR(__xludf.DUMMYFUNCTION("""COMPUTED_VALUE"""),1.0)</f>
        <v>1</v>
      </c>
      <c r="H986" s="26">
        <f>IFERROR(__xludf.DUMMYFUNCTION("""COMPUTED_VALUE"""),3.1104)</f>
        <v>3.1104</v>
      </c>
    </row>
    <row r="987">
      <c r="A987" s="26" t="str">
        <f>IFERROR(__xludf.DUMMYFUNCTION("""COMPUTED_VALUE"""),"CA-2015-137897")</f>
        <v>CA-2015-137897</v>
      </c>
      <c r="B987" s="27">
        <f>IFERROR(__xludf.DUMMYFUNCTION("""COMPUTED_VALUE"""),42322.0)</f>
        <v>42322</v>
      </c>
      <c r="C987" s="26" t="str">
        <f>IFERROR(__xludf.DUMMYFUNCTION("""COMPUTED_VALUE"""),"Patrick Jones")</f>
        <v>Patrick Jones</v>
      </c>
      <c r="D987" s="26" t="str">
        <f>IFERROR(__xludf.DUMMYFUNCTION("""COMPUTED_VALUE"""),"Corporate")</f>
        <v>Corporate</v>
      </c>
      <c r="E987" s="26" t="str">
        <f>IFERROR(__xludf.DUMMYFUNCTION("""COMPUTED_VALUE"""),"East")</f>
        <v>East</v>
      </c>
      <c r="F987" s="26">
        <f>IFERROR(__xludf.DUMMYFUNCTION("""COMPUTED_VALUE"""),37.6)</f>
        <v>37.6</v>
      </c>
      <c r="G987" s="26">
        <f>IFERROR(__xludf.DUMMYFUNCTION("""COMPUTED_VALUE"""),2.0)</f>
        <v>2</v>
      </c>
      <c r="H987" s="26">
        <f>IFERROR(__xludf.DUMMYFUNCTION("""COMPUTED_VALUE"""),2.256)</f>
        <v>2.256</v>
      </c>
    </row>
    <row r="988">
      <c r="A988" s="26" t="str">
        <f>IFERROR(__xludf.DUMMYFUNCTION("""COMPUTED_VALUE"""),"CA-2015-146087")</f>
        <v>CA-2015-146087</v>
      </c>
      <c r="B988" s="27">
        <f>IFERROR(__xludf.DUMMYFUNCTION("""COMPUTED_VALUE"""),42191.0)</f>
        <v>42191</v>
      </c>
      <c r="C988" s="26" t="str">
        <f>IFERROR(__xludf.DUMMYFUNCTION("""COMPUTED_VALUE"""),"Paul Prost")</f>
        <v>Paul Prost</v>
      </c>
      <c r="D988" s="26" t="str">
        <f>IFERROR(__xludf.DUMMYFUNCTION("""COMPUTED_VALUE"""),"Home Office")</f>
        <v>Home Office</v>
      </c>
      <c r="E988" s="26" t="str">
        <f>IFERROR(__xludf.DUMMYFUNCTION("""COMPUTED_VALUE"""),"East")</f>
        <v>East</v>
      </c>
      <c r="F988" s="26">
        <f>IFERROR(__xludf.DUMMYFUNCTION("""COMPUTED_VALUE"""),301.96)</f>
        <v>301.96</v>
      </c>
      <c r="G988" s="26">
        <f>IFERROR(__xludf.DUMMYFUNCTION("""COMPUTED_VALUE"""),2.0)</f>
        <v>2</v>
      </c>
      <c r="H988" s="26">
        <f>IFERROR(__xludf.DUMMYFUNCTION("""COMPUTED_VALUE"""),60.392)</f>
        <v>60.392</v>
      </c>
    </row>
    <row r="989">
      <c r="A989" s="26" t="str">
        <f>IFERROR(__xludf.DUMMYFUNCTION("""COMPUTED_VALUE"""),"CA-2015-104514")</f>
        <v>CA-2015-104514</v>
      </c>
      <c r="B989" s="27">
        <f>IFERROR(__xludf.DUMMYFUNCTION("""COMPUTED_VALUE"""),42006.0)</f>
        <v>42006</v>
      </c>
      <c r="C989" s="26" t="str">
        <f>IFERROR(__xludf.DUMMYFUNCTION("""COMPUTED_VALUE"""),"Claudia Bergmann")</f>
        <v>Claudia Bergmann</v>
      </c>
      <c r="D989" s="26" t="str">
        <f>IFERROR(__xludf.DUMMYFUNCTION("""COMPUTED_VALUE"""),"Corporate")</f>
        <v>Corporate</v>
      </c>
      <c r="E989" s="26" t="str">
        <f>IFERROR(__xludf.DUMMYFUNCTION("""COMPUTED_VALUE"""),"East")</f>
        <v>East</v>
      </c>
      <c r="F989" s="26">
        <f>IFERROR(__xludf.DUMMYFUNCTION("""COMPUTED_VALUE"""),85.52)</f>
        <v>85.52</v>
      </c>
      <c r="G989" s="26">
        <f>IFERROR(__xludf.DUMMYFUNCTION("""COMPUTED_VALUE"""),2.0)</f>
        <v>2</v>
      </c>
      <c r="H989" s="26">
        <f>IFERROR(__xludf.DUMMYFUNCTION("""COMPUTED_VALUE"""),22.2352)</f>
        <v>22.2352</v>
      </c>
    </row>
    <row r="990">
      <c r="A990" s="26" t="str">
        <f>IFERROR(__xludf.DUMMYFUNCTION("""COMPUTED_VALUE"""),"CA-2015-141040")</f>
        <v>CA-2015-141040</v>
      </c>
      <c r="B990" s="27">
        <f>IFERROR(__xludf.DUMMYFUNCTION("""COMPUTED_VALUE"""),42286.0)</f>
        <v>42286</v>
      </c>
      <c r="C990" s="26" t="str">
        <f>IFERROR(__xludf.DUMMYFUNCTION("""COMPUTED_VALUE"""),"Tim Brockman")</f>
        <v>Tim Brockman</v>
      </c>
      <c r="D990" s="26" t="str">
        <f>IFERROR(__xludf.DUMMYFUNCTION("""COMPUTED_VALUE"""),"Consumer")</f>
        <v>Consumer</v>
      </c>
      <c r="E990" s="26" t="str">
        <f>IFERROR(__xludf.DUMMYFUNCTION("""COMPUTED_VALUE"""),"East")</f>
        <v>East</v>
      </c>
      <c r="F990" s="26">
        <f>IFERROR(__xludf.DUMMYFUNCTION("""COMPUTED_VALUE"""),631.96)</f>
        <v>631.96</v>
      </c>
      <c r="G990" s="26">
        <f>IFERROR(__xludf.DUMMYFUNCTION("""COMPUTED_VALUE"""),4.0)</f>
        <v>4</v>
      </c>
      <c r="H990" s="26">
        <f>IFERROR(__xludf.DUMMYFUNCTION("""COMPUTED_VALUE"""),303.3408)</f>
        <v>303.3408</v>
      </c>
    </row>
    <row r="991">
      <c r="A991" s="26" t="str">
        <f>IFERROR(__xludf.DUMMYFUNCTION("""COMPUTED_VALUE"""),"CA-2015-168746")</f>
        <v>CA-2015-168746</v>
      </c>
      <c r="B991" s="27">
        <f>IFERROR(__xludf.DUMMYFUNCTION("""COMPUTED_VALUE"""),42031.0)</f>
        <v>42031</v>
      </c>
      <c r="C991" s="26" t="str">
        <f>IFERROR(__xludf.DUMMYFUNCTION("""COMPUTED_VALUE"""),"Seth Vernon")</f>
        <v>Seth Vernon</v>
      </c>
      <c r="D991" s="26" t="str">
        <f>IFERROR(__xludf.DUMMYFUNCTION("""COMPUTED_VALUE"""),"Consumer")</f>
        <v>Consumer</v>
      </c>
      <c r="E991" s="26" t="str">
        <f>IFERROR(__xludf.DUMMYFUNCTION("""COMPUTED_VALUE"""),"East")</f>
        <v>East</v>
      </c>
      <c r="F991" s="26">
        <f>IFERROR(__xludf.DUMMYFUNCTION("""COMPUTED_VALUE"""),181.986)</f>
        <v>181.986</v>
      </c>
      <c r="G991" s="26">
        <f>IFERROR(__xludf.DUMMYFUNCTION("""COMPUTED_VALUE"""),2.0)</f>
        <v>2</v>
      </c>
      <c r="H991" s="26">
        <f>IFERROR(__xludf.DUMMYFUNCTION("""COMPUTED_VALUE"""),-54.5958)</f>
        <v>-54.5958</v>
      </c>
    </row>
    <row r="992">
      <c r="A992" s="26" t="str">
        <f>IFERROR(__xludf.DUMMYFUNCTION("""COMPUTED_VALUE"""),"CA-2015-111458")</f>
        <v>CA-2015-111458</v>
      </c>
      <c r="B992" s="27">
        <f>IFERROR(__xludf.DUMMYFUNCTION("""COMPUTED_VALUE"""),42273.0)</f>
        <v>42273</v>
      </c>
      <c r="C992" s="26" t="str">
        <f>IFERROR(__xludf.DUMMYFUNCTION("""COMPUTED_VALUE"""),"Philip Fox")</f>
        <v>Philip Fox</v>
      </c>
      <c r="D992" s="26" t="str">
        <f>IFERROR(__xludf.DUMMYFUNCTION("""COMPUTED_VALUE"""),"Consumer")</f>
        <v>Consumer</v>
      </c>
      <c r="E992" s="26" t="str">
        <f>IFERROR(__xludf.DUMMYFUNCTION("""COMPUTED_VALUE"""),"East")</f>
        <v>East</v>
      </c>
      <c r="F992" s="26">
        <f>IFERROR(__xludf.DUMMYFUNCTION("""COMPUTED_VALUE"""),50.0)</f>
        <v>50</v>
      </c>
      <c r="G992" s="26">
        <f>IFERROR(__xludf.DUMMYFUNCTION("""COMPUTED_VALUE"""),2.0)</f>
        <v>2</v>
      </c>
      <c r="H992" s="26">
        <f>IFERROR(__xludf.DUMMYFUNCTION("""COMPUTED_VALUE"""),12.0)</f>
        <v>12</v>
      </c>
    </row>
    <row r="993">
      <c r="A993" s="26" t="str">
        <f>IFERROR(__xludf.DUMMYFUNCTION("""COMPUTED_VALUE"""),"CA-2015-110632")</f>
        <v>CA-2015-110632</v>
      </c>
      <c r="B993" s="27">
        <f>IFERROR(__xludf.DUMMYFUNCTION("""COMPUTED_VALUE"""),42080.0)</f>
        <v>42080</v>
      </c>
      <c r="C993" s="26" t="str">
        <f>IFERROR(__xludf.DUMMYFUNCTION("""COMPUTED_VALUE"""),"Harold Ryan")</f>
        <v>Harold Ryan</v>
      </c>
      <c r="D993" s="26" t="str">
        <f>IFERROR(__xludf.DUMMYFUNCTION("""COMPUTED_VALUE"""),"Corporate")</f>
        <v>Corporate</v>
      </c>
      <c r="E993" s="26" t="str">
        <f>IFERROR(__xludf.DUMMYFUNCTION("""COMPUTED_VALUE"""),"East")</f>
        <v>East</v>
      </c>
      <c r="F993" s="26">
        <f>IFERROR(__xludf.DUMMYFUNCTION("""COMPUTED_VALUE"""),15.02)</f>
        <v>15.02</v>
      </c>
      <c r="G993" s="26">
        <f>IFERROR(__xludf.DUMMYFUNCTION("""COMPUTED_VALUE"""),1.0)</f>
        <v>1</v>
      </c>
      <c r="H993" s="26">
        <f>IFERROR(__xludf.DUMMYFUNCTION("""COMPUTED_VALUE"""),2.7036)</f>
        <v>2.7036</v>
      </c>
    </row>
    <row r="994">
      <c r="A994" s="26" t="str">
        <f>IFERROR(__xludf.DUMMYFUNCTION("""COMPUTED_VALUE"""),"CA-2015-115798")</f>
        <v>CA-2015-115798</v>
      </c>
      <c r="B994" s="27">
        <f>IFERROR(__xludf.DUMMYFUNCTION("""COMPUTED_VALUE"""),42321.0)</f>
        <v>42321</v>
      </c>
      <c r="C994" s="26" t="str">
        <f>IFERROR(__xludf.DUMMYFUNCTION("""COMPUTED_VALUE"""),"Ken Lonsdale")</f>
        <v>Ken Lonsdale</v>
      </c>
      <c r="D994" s="26" t="str">
        <f>IFERROR(__xludf.DUMMYFUNCTION("""COMPUTED_VALUE"""),"Consumer")</f>
        <v>Consumer</v>
      </c>
      <c r="E994" s="26" t="str">
        <f>IFERROR(__xludf.DUMMYFUNCTION("""COMPUTED_VALUE"""),"East")</f>
        <v>East</v>
      </c>
      <c r="F994" s="26">
        <f>IFERROR(__xludf.DUMMYFUNCTION("""COMPUTED_VALUE"""),377.97)</f>
        <v>377.97</v>
      </c>
      <c r="G994" s="26">
        <f>IFERROR(__xludf.DUMMYFUNCTION("""COMPUTED_VALUE"""),3.0)</f>
        <v>3</v>
      </c>
      <c r="H994" s="26">
        <f>IFERROR(__xludf.DUMMYFUNCTION("""COMPUTED_VALUE"""),94.4925)</f>
        <v>94.4925</v>
      </c>
    </row>
    <row r="995">
      <c r="A995" s="26" t="str">
        <f>IFERROR(__xludf.DUMMYFUNCTION("""COMPUTED_VALUE"""),"CA-2015-104626")</f>
        <v>CA-2015-104626</v>
      </c>
      <c r="B995" s="27">
        <f>IFERROR(__xludf.DUMMYFUNCTION("""COMPUTED_VALUE"""),42248.0)</f>
        <v>42248</v>
      </c>
      <c r="C995" s="26" t="str">
        <f>IFERROR(__xludf.DUMMYFUNCTION("""COMPUTED_VALUE"""),"Daniel Raglin")</f>
        <v>Daniel Raglin</v>
      </c>
      <c r="D995" s="26" t="str">
        <f>IFERROR(__xludf.DUMMYFUNCTION("""COMPUTED_VALUE"""),"Home Office")</f>
        <v>Home Office</v>
      </c>
      <c r="E995" s="26" t="str">
        <f>IFERROR(__xludf.DUMMYFUNCTION("""COMPUTED_VALUE"""),"East")</f>
        <v>East</v>
      </c>
      <c r="F995" s="26">
        <f>IFERROR(__xludf.DUMMYFUNCTION("""COMPUTED_VALUE"""),114.6)</f>
        <v>114.6</v>
      </c>
      <c r="G995" s="26">
        <f>IFERROR(__xludf.DUMMYFUNCTION("""COMPUTED_VALUE"""),5.0)</f>
        <v>5</v>
      </c>
      <c r="H995" s="26">
        <f>IFERROR(__xludf.DUMMYFUNCTION("""COMPUTED_VALUE"""),51.57)</f>
        <v>51.57</v>
      </c>
    </row>
    <row r="996">
      <c r="A996" s="26" t="str">
        <f>IFERROR(__xludf.DUMMYFUNCTION("""COMPUTED_VALUE"""),"US-2015-104185")</f>
        <v>US-2015-104185</v>
      </c>
      <c r="B996" s="27">
        <f>IFERROR(__xludf.DUMMYFUNCTION("""COMPUTED_VALUE"""),42250.0)</f>
        <v>42250</v>
      </c>
      <c r="C996" s="26" t="str">
        <f>IFERROR(__xludf.DUMMYFUNCTION("""COMPUTED_VALUE"""),"Jennifer Braxton")</f>
        <v>Jennifer Braxton</v>
      </c>
      <c r="D996" s="26" t="str">
        <f>IFERROR(__xludf.DUMMYFUNCTION("""COMPUTED_VALUE"""),"Corporate")</f>
        <v>Corporate</v>
      </c>
      <c r="E996" s="26" t="str">
        <f>IFERROR(__xludf.DUMMYFUNCTION("""COMPUTED_VALUE"""),"East")</f>
        <v>East</v>
      </c>
      <c r="F996" s="26">
        <f>IFERROR(__xludf.DUMMYFUNCTION("""COMPUTED_VALUE"""),120.33)</f>
        <v>120.33</v>
      </c>
      <c r="G996" s="26">
        <f>IFERROR(__xludf.DUMMYFUNCTION("""COMPUTED_VALUE"""),1.0)</f>
        <v>1</v>
      </c>
      <c r="H996" s="26">
        <f>IFERROR(__xludf.DUMMYFUNCTION("""COMPUTED_VALUE"""),31.2858)</f>
        <v>31.2858</v>
      </c>
    </row>
    <row r="997">
      <c r="A997" s="26" t="str">
        <f>IFERROR(__xludf.DUMMYFUNCTION("""COMPUTED_VALUE"""),"CA-2015-166464")</f>
        <v>CA-2015-166464</v>
      </c>
      <c r="B997" s="27">
        <f>IFERROR(__xludf.DUMMYFUNCTION("""COMPUTED_VALUE"""),42259.0)</f>
        <v>42259</v>
      </c>
      <c r="C997" s="26" t="str">
        <f>IFERROR(__xludf.DUMMYFUNCTION("""COMPUTED_VALUE"""),"Paul Gonzalez")</f>
        <v>Paul Gonzalez</v>
      </c>
      <c r="D997" s="26" t="str">
        <f>IFERROR(__xludf.DUMMYFUNCTION("""COMPUTED_VALUE"""),"Consumer")</f>
        <v>Consumer</v>
      </c>
      <c r="E997" s="26" t="str">
        <f>IFERROR(__xludf.DUMMYFUNCTION("""COMPUTED_VALUE"""),"East")</f>
        <v>East</v>
      </c>
      <c r="F997" s="26">
        <f>IFERROR(__xludf.DUMMYFUNCTION("""COMPUTED_VALUE"""),479.984)</f>
        <v>479.984</v>
      </c>
      <c r="G997" s="26">
        <f>IFERROR(__xludf.DUMMYFUNCTION("""COMPUTED_VALUE"""),2.0)</f>
        <v>2</v>
      </c>
      <c r="H997" s="26">
        <f>IFERROR(__xludf.DUMMYFUNCTION("""COMPUTED_VALUE"""),59.998)</f>
        <v>59.998</v>
      </c>
    </row>
    <row r="998">
      <c r="A998" s="26" t="str">
        <f>IFERROR(__xludf.DUMMYFUNCTION("""COMPUTED_VALUE"""),"CA-2015-139850")</f>
        <v>CA-2015-139850</v>
      </c>
      <c r="B998" s="27">
        <f>IFERROR(__xludf.DUMMYFUNCTION("""COMPUTED_VALUE"""),42167.0)</f>
        <v>42167</v>
      </c>
      <c r="C998" s="26" t="str">
        <f>IFERROR(__xludf.DUMMYFUNCTION("""COMPUTED_VALUE"""),"Giulietta Baptist")</f>
        <v>Giulietta Baptist</v>
      </c>
      <c r="D998" s="26" t="str">
        <f>IFERROR(__xludf.DUMMYFUNCTION("""COMPUTED_VALUE"""),"Consumer")</f>
        <v>Consumer</v>
      </c>
      <c r="E998" s="26" t="str">
        <f>IFERROR(__xludf.DUMMYFUNCTION("""COMPUTED_VALUE"""),"East")</f>
        <v>East</v>
      </c>
      <c r="F998" s="26">
        <f>IFERROR(__xludf.DUMMYFUNCTION("""COMPUTED_VALUE"""),20.736)</f>
        <v>20.736</v>
      </c>
      <c r="G998" s="26">
        <f>IFERROR(__xludf.DUMMYFUNCTION("""COMPUTED_VALUE"""),4.0)</f>
        <v>4</v>
      </c>
      <c r="H998" s="26">
        <f>IFERROR(__xludf.DUMMYFUNCTION("""COMPUTED_VALUE"""),7.2576)</f>
        <v>7.2576</v>
      </c>
    </row>
    <row r="999">
      <c r="A999" s="26" t="str">
        <f>IFERROR(__xludf.DUMMYFUNCTION("""COMPUTED_VALUE"""),"US-2015-138919")</f>
        <v>US-2015-138919</v>
      </c>
      <c r="B999" s="27">
        <f>IFERROR(__xludf.DUMMYFUNCTION("""COMPUTED_VALUE"""),42264.0)</f>
        <v>42264</v>
      </c>
      <c r="C999" s="26" t="str">
        <f>IFERROR(__xludf.DUMMYFUNCTION("""COMPUTED_VALUE"""),"Lindsay Shagiari")</f>
        <v>Lindsay Shagiari</v>
      </c>
      <c r="D999" s="26" t="str">
        <f>IFERROR(__xludf.DUMMYFUNCTION("""COMPUTED_VALUE"""),"Home Office")</f>
        <v>Home Office</v>
      </c>
      <c r="E999" s="26" t="str">
        <f>IFERROR(__xludf.DUMMYFUNCTION("""COMPUTED_VALUE"""),"East")</f>
        <v>East</v>
      </c>
      <c r="F999" s="26">
        <f>IFERROR(__xludf.DUMMYFUNCTION("""COMPUTED_VALUE"""),344.22)</f>
        <v>344.22</v>
      </c>
      <c r="G999" s="26">
        <f>IFERROR(__xludf.DUMMYFUNCTION("""COMPUTED_VALUE"""),2.0)</f>
        <v>2</v>
      </c>
      <c r="H999" s="26">
        <f>IFERROR(__xludf.DUMMYFUNCTION("""COMPUTED_VALUE"""),-103.266)</f>
        <v>-103.266</v>
      </c>
    </row>
    <row r="1000">
      <c r="A1000" s="26" t="str">
        <f>IFERROR(__xludf.DUMMYFUNCTION("""COMPUTED_VALUE"""),"CA-2015-164441")</f>
        <v>CA-2015-164441</v>
      </c>
      <c r="B1000" s="27">
        <f>IFERROR(__xludf.DUMMYFUNCTION("""COMPUTED_VALUE"""),42316.0)</f>
        <v>42316</v>
      </c>
      <c r="C1000" s="26" t="str">
        <f>IFERROR(__xludf.DUMMYFUNCTION("""COMPUTED_VALUE"""),"Amy Cox")</f>
        <v>Amy Cox</v>
      </c>
      <c r="D1000" s="26" t="str">
        <f>IFERROR(__xludf.DUMMYFUNCTION("""COMPUTED_VALUE"""),"Consumer")</f>
        <v>Consumer</v>
      </c>
      <c r="E1000" s="26" t="str">
        <f>IFERROR(__xludf.DUMMYFUNCTION("""COMPUTED_VALUE"""),"East")</f>
        <v>East</v>
      </c>
      <c r="F1000" s="26">
        <f>IFERROR(__xludf.DUMMYFUNCTION("""COMPUTED_VALUE"""),52.272)</f>
        <v>52.272</v>
      </c>
      <c r="G1000" s="26">
        <f>IFERROR(__xludf.DUMMYFUNCTION("""COMPUTED_VALUE"""),11.0)</f>
        <v>11</v>
      </c>
      <c r="H1000" s="26">
        <f>IFERROR(__xludf.DUMMYFUNCTION("""COMPUTED_VALUE"""),17.6418)</f>
        <v>17.6418</v>
      </c>
    </row>
    <row r="1001">
      <c r="A1001" s="26" t="str">
        <f>IFERROR(__xludf.DUMMYFUNCTION("""COMPUTED_VALUE"""),"CA-2015-135174")</f>
        <v>CA-2015-135174</v>
      </c>
      <c r="B1001" s="27">
        <f>IFERROR(__xludf.DUMMYFUNCTION("""COMPUTED_VALUE"""),42124.0)</f>
        <v>42124</v>
      </c>
      <c r="C1001" s="26" t="str">
        <f>IFERROR(__xludf.DUMMYFUNCTION("""COMPUTED_VALUE"""),"Benjamin Patterson")</f>
        <v>Benjamin Patterson</v>
      </c>
      <c r="D1001" s="26" t="str">
        <f>IFERROR(__xludf.DUMMYFUNCTION("""COMPUTED_VALUE"""),"Consumer")</f>
        <v>Consumer</v>
      </c>
      <c r="E1001" s="26" t="str">
        <f>IFERROR(__xludf.DUMMYFUNCTION("""COMPUTED_VALUE"""),"East")</f>
        <v>East</v>
      </c>
      <c r="F1001" s="26">
        <f>IFERROR(__xludf.DUMMYFUNCTION("""COMPUTED_VALUE"""),1022.97)</f>
        <v>1022.97</v>
      </c>
      <c r="G1001" s="26">
        <f>IFERROR(__xludf.DUMMYFUNCTION("""COMPUTED_VALUE"""),5.0)</f>
        <v>5</v>
      </c>
      <c r="H1001" s="26">
        <f>IFERROR(__xludf.DUMMYFUNCTION("""COMPUTED_VALUE"""),-255.7425)</f>
        <v>-255.7425</v>
      </c>
    </row>
    <row r="1002">
      <c r="A1002" s="26" t="str">
        <f>IFERROR(__xludf.DUMMYFUNCTION("""COMPUTED_VALUE"""),"CA-2015-145184")</f>
        <v>CA-2015-145184</v>
      </c>
      <c r="B1002" s="27">
        <f>IFERROR(__xludf.DUMMYFUNCTION("""COMPUTED_VALUE"""),42335.0)</f>
        <v>42335</v>
      </c>
      <c r="C1002" s="26" t="str">
        <f>IFERROR(__xludf.DUMMYFUNCTION("""COMPUTED_VALUE"""),"Justin Deggeller")</f>
        <v>Justin Deggeller</v>
      </c>
      <c r="D1002" s="26" t="str">
        <f>IFERROR(__xludf.DUMMYFUNCTION("""COMPUTED_VALUE"""),"Corporate")</f>
        <v>Corporate</v>
      </c>
      <c r="E1002" s="26" t="str">
        <f>IFERROR(__xludf.DUMMYFUNCTION("""COMPUTED_VALUE"""),"East")</f>
        <v>East</v>
      </c>
      <c r="F1002" s="26">
        <f>IFERROR(__xludf.DUMMYFUNCTION("""COMPUTED_VALUE"""),83.97)</f>
        <v>83.97</v>
      </c>
      <c r="G1002" s="26">
        <f>IFERROR(__xludf.DUMMYFUNCTION("""COMPUTED_VALUE"""),3.0)</f>
        <v>3</v>
      </c>
      <c r="H1002" s="26">
        <f>IFERROR(__xludf.DUMMYFUNCTION("""COMPUTED_VALUE"""),23.5116)</f>
        <v>23.5116</v>
      </c>
    </row>
    <row r="1003">
      <c r="A1003" s="26" t="str">
        <f>IFERROR(__xludf.DUMMYFUNCTION("""COMPUTED_VALUE"""),"CA-2015-112557")</f>
        <v>CA-2015-112557</v>
      </c>
      <c r="B1003" s="27">
        <f>IFERROR(__xludf.DUMMYFUNCTION("""COMPUTED_VALUE"""),42119.0)</f>
        <v>42119</v>
      </c>
      <c r="C1003" s="26" t="str">
        <f>IFERROR(__xludf.DUMMYFUNCTION("""COMPUTED_VALUE"""),"John Lucas")</f>
        <v>John Lucas</v>
      </c>
      <c r="D1003" s="26" t="str">
        <f>IFERROR(__xludf.DUMMYFUNCTION("""COMPUTED_VALUE"""),"Consumer")</f>
        <v>Consumer</v>
      </c>
      <c r="E1003" s="26" t="str">
        <f>IFERROR(__xludf.DUMMYFUNCTION("""COMPUTED_VALUE"""),"East")</f>
        <v>East</v>
      </c>
      <c r="F1003" s="26">
        <f>IFERROR(__xludf.DUMMYFUNCTION("""COMPUTED_VALUE"""),206.43)</f>
        <v>206.43</v>
      </c>
      <c r="G1003" s="26">
        <f>IFERROR(__xludf.DUMMYFUNCTION("""COMPUTED_VALUE"""),3.0)</f>
        <v>3</v>
      </c>
      <c r="H1003" s="26">
        <f>IFERROR(__xludf.DUMMYFUNCTION("""COMPUTED_VALUE"""),90.8292)</f>
        <v>90.8292</v>
      </c>
    </row>
    <row r="1004">
      <c r="A1004" s="26" t="str">
        <f>IFERROR(__xludf.DUMMYFUNCTION("""COMPUTED_VALUE"""),"CA-2015-147830")</f>
        <v>CA-2015-147830</v>
      </c>
      <c r="B1004" s="27">
        <f>IFERROR(__xludf.DUMMYFUNCTION("""COMPUTED_VALUE"""),42353.0)</f>
        <v>42353</v>
      </c>
      <c r="C1004" s="26" t="str">
        <f>IFERROR(__xludf.DUMMYFUNCTION("""COMPUTED_VALUE"""),"Natalie Fritzler")</f>
        <v>Natalie Fritzler</v>
      </c>
      <c r="D1004" s="26" t="str">
        <f>IFERROR(__xludf.DUMMYFUNCTION("""COMPUTED_VALUE"""),"Consumer")</f>
        <v>Consumer</v>
      </c>
      <c r="E1004" s="26" t="str">
        <f>IFERROR(__xludf.DUMMYFUNCTION("""COMPUTED_VALUE"""),"East")</f>
        <v>East</v>
      </c>
      <c r="F1004" s="26">
        <f>IFERROR(__xludf.DUMMYFUNCTION("""COMPUTED_VALUE"""),2025.36)</f>
        <v>2025.36</v>
      </c>
      <c r="G1004" s="26">
        <f>IFERROR(__xludf.DUMMYFUNCTION("""COMPUTED_VALUE"""),6.0)</f>
        <v>6</v>
      </c>
      <c r="H1004" s="26">
        <f>IFERROR(__xludf.DUMMYFUNCTION("""COMPUTED_VALUE"""),607.608)</f>
        <v>607.608</v>
      </c>
    </row>
    <row r="1005">
      <c r="A1005" s="26" t="str">
        <f>IFERROR(__xludf.DUMMYFUNCTION("""COMPUTED_VALUE"""),"CA-2015-139584")</f>
        <v>CA-2015-139584</v>
      </c>
      <c r="B1005" s="27">
        <f>IFERROR(__xludf.DUMMYFUNCTION("""COMPUTED_VALUE"""),42240.0)</f>
        <v>42240</v>
      </c>
      <c r="C1005" s="26" t="str">
        <f>IFERROR(__xludf.DUMMYFUNCTION("""COMPUTED_VALUE"""),"Eleni McCrary")</f>
        <v>Eleni McCrary</v>
      </c>
      <c r="D1005" s="26" t="str">
        <f>IFERROR(__xludf.DUMMYFUNCTION("""COMPUTED_VALUE"""),"Corporate")</f>
        <v>Corporate</v>
      </c>
      <c r="E1005" s="26" t="str">
        <f>IFERROR(__xludf.DUMMYFUNCTION("""COMPUTED_VALUE"""),"East")</f>
        <v>East</v>
      </c>
      <c r="F1005" s="26">
        <f>IFERROR(__xludf.DUMMYFUNCTION("""COMPUTED_VALUE"""),284.364)</f>
        <v>284.364</v>
      </c>
      <c r="G1005" s="26">
        <f>IFERROR(__xludf.DUMMYFUNCTION("""COMPUTED_VALUE"""),2.0)</f>
        <v>2</v>
      </c>
      <c r="H1005" s="26">
        <f>IFERROR(__xludf.DUMMYFUNCTION("""COMPUTED_VALUE"""),-75.8304)</f>
        <v>-75.8304</v>
      </c>
    </row>
    <row r="1006">
      <c r="A1006" s="26" t="str">
        <f>IFERROR(__xludf.DUMMYFUNCTION("""COMPUTED_VALUE"""),"US-2015-137008")</f>
        <v>US-2015-137008</v>
      </c>
      <c r="B1006" s="27">
        <f>IFERROR(__xludf.DUMMYFUNCTION("""COMPUTED_VALUE"""),42279.0)</f>
        <v>42279</v>
      </c>
      <c r="C1006" s="26" t="str">
        <f>IFERROR(__xludf.DUMMYFUNCTION("""COMPUTED_VALUE"""),"Jennifer Patt")</f>
        <v>Jennifer Patt</v>
      </c>
      <c r="D1006" s="26" t="str">
        <f>IFERROR(__xludf.DUMMYFUNCTION("""COMPUTED_VALUE"""),"Corporate")</f>
        <v>Corporate</v>
      </c>
      <c r="E1006" s="26" t="str">
        <f>IFERROR(__xludf.DUMMYFUNCTION("""COMPUTED_VALUE"""),"East")</f>
        <v>East</v>
      </c>
      <c r="F1006" s="26">
        <f>IFERROR(__xludf.DUMMYFUNCTION("""COMPUTED_VALUE"""),94.85)</f>
        <v>94.85</v>
      </c>
      <c r="G1006" s="26">
        <f>IFERROR(__xludf.DUMMYFUNCTION("""COMPUTED_VALUE"""),5.0)</f>
        <v>5</v>
      </c>
      <c r="H1006" s="26">
        <f>IFERROR(__xludf.DUMMYFUNCTION("""COMPUTED_VALUE"""),45.528)</f>
        <v>45.528</v>
      </c>
    </row>
    <row r="1007">
      <c r="A1007" s="26" t="str">
        <f>IFERROR(__xludf.DUMMYFUNCTION("""COMPUTED_VALUE"""),"CA-2015-144386")</f>
        <v>CA-2015-144386</v>
      </c>
      <c r="B1007" s="27">
        <f>IFERROR(__xludf.DUMMYFUNCTION("""COMPUTED_VALUE"""),42313.0)</f>
        <v>42313</v>
      </c>
      <c r="C1007" s="26" t="str">
        <f>IFERROR(__xludf.DUMMYFUNCTION("""COMPUTED_VALUE"""),"Grant Thornton")</f>
        <v>Grant Thornton</v>
      </c>
      <c r="D1007" s="26" t="str">
        <f>IFERROR(__xludf.DUMMYFUNCTION("""COMPUTED_VALUE"""),"Corporate")</f>
        <v>Corporate</v>
      </c>
      <c r="E1007" s="26" t="str">
        <f>IFERROR(__xludf.DUMMYFUNCTION("""COMPUTED_VALUE"""),"East")</f>
        <v>East</v>
      </c>
      <c r="F1007" s="26">
        <f>IFERROR(__xludf.DUMMYFUNCTION("""COMPUTED_VALUE"""),25.344)</f>
        <v>25.344</v>
      </c>
      <c r="G1007" s="26">
        <f>IFERROR(__xludf.DUMMYFUNCTION("""COMPUTED_VALUE"""),6.0)</f>
        <v>6</v>
      </c>
      <c r="H1007" s="26">
        <f>IFERROR(__xludf.DUMMYFUNCTION("""COMPUTED_VALUE"""),8.8704)</f>
        <v>8.8704</v>
      </c>
    </row>
    <row r="1008">
      <c r="A1008" s="26" t="str">
        <f>IFERROR(__xludf.DUMMYFUNCTION("""COMPUTED_VALUE"""),"CA-2015-120810")</f>
        <v>CA-2015-120810</v>
      </c>
      <c r="B1008" s="27">
        <f>IFERROR(__xludf.DUMMYFUNCTION("""COMPUTED_VALUE"""),42208.0)</f>
        <v>42208</v>
      </c>
      <c r="C1008" s="26" t="str">
        <f>IFERROR(__xludf.DUMMYFUNCTION("""COMPUTED_VALUE"""),"Tracy Hopkins")</f>
        <v>Tracy Hopkins</v>
      </c>
      <c r="D1008" s="26" t="str">
        <f>IFERROR(__xludf.DUMMYFUNCTION("""COMPUTED_VALUE"""),"Home Office")</f>
        <v>Home Office</v>
      </c>
      <c r="E1008" s="26" t="str">
        <f>IFERROR(__xludf.DUMMYFUNCTION("""COMPUTED_VALUE"""),"East")</f>
        <v>East</v>
      </c>
      <c r="F1008" s="26">
        <f>IFERROR(__xludf.DUMMYFUNCTION("""COMPUTED_VALUE"""),68.94)</f>
        <v>68.94</v>
      </c>
      <c r="G1008" s="26">
        <f>IFERROR(__xludf.DUMMYFUNCTION("""COMPUTED_VALUE"""),3.0)</f>
        <v>3</v>
      </c>
      <c r="H1008" s="26">
        <f>IFERROR(__xludf.DUMMYFUNCTION("""COMPUTED_VALUE"""),20.682)</f>
        <v>20.682</v>
      </c>
    </row>
    <row r="1009">
      <c r="A1009" s="26" t="str">
        <f>IFERROR(__xludf.DUMMYFUNCTION("""COMPUTED_VALUE"""),"US-2015-142020")</f>
        <v>US-2015-142020</v>
      </c>
      <c r="B1009" s="27">
        <f>IFERROR(__xludf.DUMMYFUNCTION("""COMPUTED_VALUE"""),42159.0)</f>
        <v>42159</v>
      </c>
      <c r="C1009" s="26" t="str">
        <f>IFERROR(__xludf.DUMMYFUNCTION("""COMPUTED_VALUE"""),"Tracy Collins")</f>
        <v>Tracy Collins</v>
      </c>
      <c r="D1009" s="26" t="str">
        <f>IFERROR(__xludf.DUMMYFUNCTION("""COMPUTED_VALUE"""),"Home Office")</f>
        <v>Home Office</v>
      </c>
      <c r="E1009" s="26" t="str">
        <f>IFERROR(__xludf.DUMMYFUNCTION("""COMPUTED_VALUE"""),"East")</f>
        <v>East</v>
      </c>
      <c r="F1009" s="26">
        <f>IFERROR(__xludf.DUMMYFUNCTION("""COMPUTED_VALUE"""),30.44)</f>
        <v>30.44</v>
      </c>
      <c r="G1009" s="26">
        <f>IFERROR(__xludf.DUMMYFUNCTION("""COMPUTED_VALUE"""),4.0)</f>
        <v>4</v>
      </c>
      <c r="H1009" s="26">
        <f>IFERROR(__xludf.DUMMYFUNCTION("""COMPUTED_VALUE"""),14.3068)</f>
        <v>14.3068</v>
      </c>
    </row>
    <row r="1010">
      <c r="A1010" s="26" t="str">
        <f>IFERROR(__xludf.DUMMYFUNCTION("""COMPUTED_VALUE"""),"CA-2015-139962")</f>
        <v>CA-2015-139962</v>
      </c>
      <c r="B1010" s="27">
        <f>IFERROR(__xludf.DUMMYFUNCTION("""COMPUTED_VALUE"""),42351.0)</f>
        <v>42351</v>
      </c>
      <c r="C1010" s="26" t="str">
        <f>IFERROR(__xludf.DUMMYFUNCTION("""COMPUTED_VALUE"""),"Dean percer")</f>
        <v>Dean percer</v>
      </c>
      <c r="D1010" s="26" t="str">
        <f>IFERROR(__xludf.DUMMYFUNCTION("""COMPUTED_VALUE"""),"Home Office")</f>
        <v>Home Office</v>
      </c>
      <c r="E1010" s="26" t="str">
        <f>IFERROR(__xludf.DUMMYFUNCTION("""COMPUTED_VALUE"""),"East")</f>
        <v>East</v>
      </c>
      <c r="F1010" s="26">
        <f>IFERROR(__xludf.DUMMYFUNCTION("""COMPUTED_VALUE"""),19.44)</f>
        <v>19.44</v>
      </c>
      <c r="G1010" s="26">
        <f>IFERROR(__xludf.DUMMYFUNCTION("""COMPUTED_VALUE"""),3.0)</f>
        <v>3</v>
      </c>
      <c r="H1010" s="26">
        <f>IFERROR(__xludf.DUMMYFUNCTION("""COMPUTED_VALUE"""),9.3312)</f>
        <v>9.3312</v>
      </c>
    </row>
    <row r="1011">
      <c r="A1011" s="26" t="str">
        <f>IFERROR(__xludf.DUMMYFUNCTION("""COMPUTED_VALUE"""),"CA-2015-161718")</f>
        <v>CA-2015-161718</v>
      </c>
      <c r="B1011" s="27">
        <f>IFERROR(__xludf.DUMMYFUNCTION("""COMPUTED_VALUE"""),42342.0)</f>
        <v>42342</v>
      </c>
      <c r="C1011" s="26" t="str">
        <f>IFERROR(__xludf.DUMMYFUNCTION("""COMPUTED_VALUE"""),"Sean O'Donnell")</f>
        <v>Sean O'Donnell</v>
      </c>
      <c r="D1011" s="26" t="str">
        <f>IFERROR(__xludf.DUMMYFUNCTION("""COMPUTED_VALUE"""),"Consumer")</f>
        <v>Consumer</v>
      </c>
      <c r="E1011" s="26" t="str">
        <f>IFERROR(__xludf.DUMMYFUNCTION("""COMPUTED_VALUE"""),"East")</f>
        <v>East</v>
      </c>
      <c r="F1011" s="26">
        <f>IFERROR(__xludf.DUMMYFUNCTION("""COMPUTED_VALUE"""),28.44)</f>
        <v>28.44</v>
      </c>
      <c r="G1011" s="26">
        <f>IFERROR(__xludf.DUMMYFUNCTION("""COMPUTED_VALUE"""),3.0)</f>
        <v>3</v>
      </c>
      <c r="H1011" s="26">
        <f>IFERROR(__xludf.DUMMYFUNCTION("""COMPUTED_VALUE"""),11.376)</f>
        <v>11.376</v>
      </c>
    </row>
    <row r="1012">
      <c r="A1012" s="26" t="str">
        <f>IFERROR(__xludf.DUMMYFUNCTION("""COMPUTED_VALUE"""),"CA-2015-130659")</f>
        <v>CA-2015-130659</v>
      </c>
      <c r="B1012" s="27">
        <f>IFERROR(__xludf.DUMMYFUNCTION("""COMPUTED_VALUE"""),42342.0)</f>
        <v>42342</v>
      </c>
      <c r="C1012" s="26" t="str">
        <f>IFERROR(__xludf.DUMMYFUNCTION("""COMPUTED_VALUE"""),"Maribeth Schnelling")</f>
        <v>Maribeth Schnelling</v>
      </c>
      <c r="D1012" s="26" t="str">
        <f>IFERROR(__xludf.DUMMYFUNCTION("""COMPUTED_VALUE"""),"Consumer")</f>
        <v>Consumer</v>
      </c>
      <c r="E1012" s="26" t="str">
        <f>IFERROR(__xludf.DUMMYFUNCTION("""COMPUTED_VALUE"""),"East")</f>
        <v>East</v>
      </c>
      <c r="F1012" s="26">
        <f>IFERROR(__xludf.DUMMYFUNCTION("""COMPUTED_VALUE"""),17.94)</f>
        <v>17.94</v>
      </c>
      <c r="G1012" s="26">
        <f>IFERROR(__xludf.DUMMYFUNCTION("""COMPUTED_VALUE"""),3.0)</f>
        <v>3</v>
      </c>
      <c r="H1012" s="26">
        <f>IFERROR(__xludf.DUMMYFUNCTION("""COMPUTED_VALUE"""),8.7906)</f>
        <v>8.7906</v>
      </c>
    </row>
    <row r="1013">
      <c r="A1013" s="26" t="str">
        <f>IFERROR(__xludf.DUMMYFUNCTION("""COMPUTED_VALUE"""),"CA-2015-150791")</f>
        <v>CA-2015-150791</v>
      </c>
      <c r="B1013" s="27">
        <f>IFERROR(__xludf.DUMMYFUNCTION("""COMPUTED_VALUE"""),42253.0)</f>
        <v>42253</v>
      </c>
      <c r="C1013" s="26" t="str">
        <f>IFERROR(__xludf.DUMMYFUNCTION("""COMPUTED_VALUE"""),"Chuck Clark")</f>
        <v>Chuck Clark</v>
      </c>
      <c r="D1013" s="26" t="str">
        <f>IFERROR(__xludf.DUMMYFUNCTION("""COMPUTED_VALUE"""),"Home Office")</f>
        <v>Home Office</v>
      </c>
      <c r="E1013" s="26" t="str">
        <f>IFERROR(__xludf.DUMMYFUNCTION("""COMPUTED_VALUE"""),"East")</f>
        <v>East</v>
      </c>
      <c r="F1013" s="26">
        <f>IFERROR(__xludf.DUMMYFUNCTION("""COMPUTED_VALUE"""),271.764)</f>
        <v>271.764</v>
      </c>
      <c r="G1013" s="26">
        <f>IFERROR(__xludf.DUMMYFUNCTION("""COMPUTED_VALUE"""),2.0)</f>
        <v>2</v>
      </c>
      <c r="H1013" s="26">
        <f>IFERROR(__xludf.DUMMYFUNCTION("""COMPUTED_VALUE"""),60.392)</f>
        <v>60.392</v>
      </c>
    </row>
    <row r="1014">
      <c r="A1014" s="26" t="str">
        <f>IFERROR(__xludf.DUMMYFUNCTION("""COMPUTED_VALUE"""),"CA-2015-131779")</f>
        <v>CA-2015-131779</v>
      </c>
      <c r="B1014" s="27">
        <f>IFERROR(__xludf.DUMMYFUNCTION("""COMPUTED_VALUE"""),42167.0)</f>
        <v>42167</v>
      </c>
      <c r="C1014" s="26" t="str">
        <f>IFERROR(__xludf.DUMMYFUNCTION("""COMPUTED_VALUE"""),"Laurel Elliston")</f>
        <v>Laurel Elliston</v>
      </c>
      <c r="D1014" s="26" t="str">
        <f>IFERROR(__xludf.DUMMYFUNCTION("""COMPUTED_VALUE"""),"Consumer")</f>
        <v>Consumer</v>
      </c>
      <c r="E1014" s="26" t="str">
        <f>IFERROR(__xludf.DUMMYFUNCTION("""COMPUTED_VALUE"""),"East")</f>
        <v>East</v>
      </c>
      <c r="F1014" s="26">
        <f>IFERROR(__xludf.DUMMYFUNCTION("""COMPUTED_VALUE"""),29.9)</f>
        <v>29.9</v>
      </c>
      <c r="G1014" s="26">
        <f>IFERROR(__xludf.DUMMYFUNCTION("""COMPUTED_VALUE"""),5.0)</f>
        <v>5</v>
      </c>
      <c r="H1014" s="26">
        <f>IFERROR(__xludf.DUMMYFUNCTION("""COMPUTED_VALUE"""),5.083)</f>
        <v>5.083</v>
      </c>
    </row>
    <row r="1015">
      <c r="A1015" s="26" t="str">
        <f>IFERROR(__xludf.DUMMYFUNCTION("""COMPUTED_VALUE"""),"CA-2015-152611")</f>
        <v>CA-2015-152611</v>
      </c>
      <c r="B1015" s="27">
        <f>IFERROR(__xludf.DUMMYFUNCTION("""COMPUTED_VALUE"""),42055.0)</f>
        <v>42055</v>
      </c>
      <c r="C1015" s="26" t="str">
        <f>IFERROR(__xludf.DUMMYFUNCTION("""COMPUTED_VALUE"""),"Kelly Andreada")</f>
        <v>Kelly Andreada</v>
      </c>
      <c r="D1015" s="26" t="str">
        <f>IFERROR(__xludf.DUMMYFUNCTION("""COMPUTED_VALUE"""),"Consumer")</f>
        <v>Consumer</v>
      </c>
      <c r="E1015" s="26" t="str">
        <f>IFERROR(__xludf.DUMMYFUNCTION("""COMPUTED_VALUE"""),"East")</f>
        <v>East</v>
      </c>
      <c r="F1015" s="26">
        <f>IFERROR(__xludf.DUMMYFUNCTION("""COMPUTED_VALUE"""),286.79)</f>
        <v>286.79</v>
      </c>
      <c r="G1015" s="26">
        <f>IFERROR(__xludf.DUMMYFUNCTION("""COMPUTED_VALUE"""),7.0)</f>
        <v>7</v>
      </c>
      <c r="H1015" s="26">
        <f>IFERROR(__xludf.DUMMYFUNCTION("""COMPUTED_VALUE"""),74.5654)</f>
        <v>74.5654</v>
      </c>
    </row>
    <row r="1016">
      <c r="A1016" s="26" t="str">
        <f>IFERROR(__xludf.DUMMYFUNCTION("""COMPUTED_VALUE"""),"US-2015-147242")</f>
        <v>US-2015-147242</v>
      </c>
      <c r="B1016" s="27">
        <f>IFERROR(__xludf.DUMMYFUNCTION("""COMPUTED_VALUE"""),42257.0)</f>
        <v>42257</v>
      </c>
      <c r="C1016" s="26" t="str">
        <f>IFERROR(__xludf.DUMMYFUNCTION("""COMPUTED_VALUE"""),"Edward Hooks")</f>
        <v>Edward Hooks</v>
      </c>
      <c r="D1016" s="26" t="str">
        <f>IFERROR(__xludf.DUMMYFUNCTION("""COMPUTED_VALUE"""),"Corporate")</f>
        <v>Corporate</v>
      </c>
      <c r="E1016" s="26" t="str">
        <f>IFERROR(__xludf.DUMMYFUNCTION("""COMPUTED_VALUE"""),"East")</f>
        <v>East</v>
      </c>
      <c r="F1016" s="26">
        <f>IFERROR(__xludf.DUMMYFUNCTION("""COMPUTED_VALUE"""),61.96)</f>
        <v>61.96</v>
      </c>
      <c r="G1016" s="26">
        <f>IFERROR(__xludf.DUMMYFUNCTION("""COMPUTED_VALUE"""),2.0)</f>
        <v>2</v>
      </c>
      <c r="H1016" s="26">
        <f>IFERROR(__xludf.DUMMYFUNCTION("""COMPUTED_VALUE"""),16.1096)</f>
        <v>16.1096</v>
      </c>
    </row>
    <row r="1017">
      <c r="A1017" s="26" t="str">
        <f>IFERROR(__xludf.DUMMYFUNCTION("""COMPUTED_VALUE"""),"CA-2015-110093")</f>
        <v>CA-2015-110093</v>
      </c>
      <c r="B1017" s="27">
        <f>IFERROR(__xludf.DUMMYFUNCTION("""COMPUTED_VALUE"""),42341.0)</f>
        <v>42341</v>
      </c>
      <c r="C1017" s="26" t="str">
        <f>IFERROR(__xludf.DUMMYFUNCTION("""COMPUTED_VALUE"""),"Alejandro Ballentine")</f>
        <v>Alejandro Ballentine</v>
      </c>
      <c r="D1017" s="26" t="str">
        <f>IFERROR(__xludf.DUMMYFUNCTION("""COMPUTED_VALUE"""),"Home Office")</f>
        <v>Home Office</v>
      </c>
      <c r="E1017" s="26" t="str">
        <f>IFERROR(__xludf.DUMMYFUNCTION("""COMPUTED_VALUE"""),"East")</f>
        <v>East</v>
      </c>
      <c r="F1017" s="26">
        <f>IFERROR(__xludf.DUMMYFUNCTION("""COMPUTED_VALUE"""),16.448)</f>
        <v>16.448</v>
      </c>
      <c r="G1017" s="26">
        <f>IFERROR(__xludf.DUMMYFUNCTION("""COMPUTED_VALUE"""),2.0)</f>
        <v>2</v>
      </c>
      <c r="H1017" s="26">
        <f>IFERROR(__xludf.DUMMYFUNCTION("""COMPUTED_VALUE"""),5.5512)</f>
        <v>5.5512</v>
      </c>
    </row>
    <row r="1018">
      <c r="A1018" s="26" t="str">
        <f>IFERROR(__xludf.DUMMYFUNCTION("""COMPUTED_VALUE"""),"CA-2015-132626")</f>
        <v>CA-2015-132626</v>
      </c>
      <c r="B1018" s="27">
        <f>IFERROR(__xludf.DUMMYFUNCTION("""COMPUTED_VALUE"""),42194.0)</f>
        <v>42194</v>
      </c>
      <c r="C1018" s="26" t="str">
        <f>IFERROR(__xludf.DUMMYFUNCTION("""COMPUTED_VALUE"""),"Brian Thompson")</f>
        <v>Brian Thompson</v>
      </c>
      <c r="D1018" s="26" t="str">
        <f>IFERROR(__xludf.DUMMYFUNCTION("""COMPUTED_VALUE"""),"Consumer")</f>
        <v>Consumer</v>
      </c>
      <c r="E1018" s="26" t="str">
        <f>IFERROR(__xludf.DUMMYFUNCTION("""COMPUTED_VALUE"""),"East")</f>
        <v>East</v>
      </c>
      <c r="F1018" s="26">
        <f>IFERROR(__xludf.DUMMYFUNCTION("""COMPUTED_VALUE"""),15.8)</f>
        <v>15.8</v>
      </c>
      <c r="G1018" s="26">
        <f>IFERROR(__xludf.DUMMYFUNCTION("""COMPUTED_VALUE"""),4.0)</f>
        <v>4</v>
      </c>
      <c r="H1018" s="26">
        <f>IFERROR(__xludf.DUMMYFUNCTION("""COMPUTED_VALUE"""),5.056)</f>
        <v>5.056</v>
      </c>
    </row>
    <row r="1019">
      <c r="A1019" s="26" t="str">
        <f>IFERROR(__xludf.DUMMYFUNCTION("""COMPUTED_VALUE"""),"CA-2015-109575")</f>
        <v>CA-2015-109575</v>
      </c>
      <c r="B1019" s="27">
        <f>IFERROR(__xludf.DUMMYFUNCTION("""COMPUTED_VALUE"""),42265.0)</f>
        <v>42265</v>
      </c>
      <c r="C1019" s="26" t="str">
        <f>IFERROR(__xludf.DUMMYFUNCTION("""COMPUTED_VALUE"""),"Ken Heidel")</f>
        <v>Ken Heidel</v>
      </c>
      <c r="D1019" s="26" t="str">
        <f>IFERROR(__xludf.DUMMYFUNCTION("""COMPUTED_VALUE"""),"Corporate")</f>
        <v>Corporate</v>
      </c>
      <c r="E1019" s="26" t="str">
        <f>IFERROR(__xludf.DUMMYFUNCTION("""COMPUTED_VALUE"""),"East")</f>
        <v>East</v>
      </c>
      <c r="F1019" s="26">
        <f>IFERROR(__xludf.DUMMYFUNCTION("""COMPUTED_VALUE"""),41.96)</f>
        <v>41.96</v>
      </c>
      <c r="G1019" s="26">
        <f>IFERROR(__xludf.DUMMYFUNCTION("""COMPUTED_VALUE"""),2.0)</f>
        <v>2</v>
      </c>
      <c r="H1019" s="26">
        <f>IFERROR(__xludf.DUMMYFUNCTION("""COMPUTED_VALUE"""),7.9724)</f>
        <v>7.9724</v>
      </c>
    </row>
    <row r="1020">
      <c r="A1020" s="26" t="str">
        <f>IFERROR(__xludf.DUMMYFUNCTION("""COMPUTED_VALUE"""),"CA-2015-135314")</f>
        <v>CA-2015-135314</v>
      </c>
      <c r="B1020" s="27">
        <f>IFERROR(__xludf.DUMMYFUNCTION("""COMPUTED_VALUE"""),42194.0)</f>
        <v>42194</v>
      </c>
      <c r="C1020" s="26" t="str">
        <f>IFERROR(__xludf.DUMMYFUNCTION("""COMPUTED_VALUE"""),"Matt Collins")</f>
        <v>Matt Collins</v>
      </c>
      <c r="D1020" s="26" t="str">
        <f>IFERROR(__xludf.DUMMYFUNCTION("""COMPUTED_VALUE"""),"Consumer")</f>
        <v>Consumer</v>
      </c>
      <c r="E1020" s="26" t="str">
        <f>IFERROR(__xludf.DUMMYFUNCTION("""COMPUTED_VALUE"""),"East")</f>
        <v>East</v>
      </c>
      <c r="F1020" s="26">
        <f>IFERROR(__xludf.DUMMYFUNCTION("""COMPUTED_VALUE"""),269.982)</f>
        <v>269.982</v>
      </c>
      <c r="G1020" s="26">
        <f>IFERROR(__xludf.DUMMYFUNCTION("""COMPUTED_VALUE"""),3.0)</f>
        <v>3</v>
      </c>
      <c r="H1020" s="26">
        <f>IFERROR(__xludf.DUMMYFUNCTION("""COMPUTED_VALUE"""),40.4973)</f>
        <v>40.4973</v>
      </c>
    </row>
    <row r="1021">
      <c r="A1021" s="26" t="str">
        <f>IFERROR(__xludf.DUMMYFUNCTION("""COMPUTED_VALUE"""),"CA-2015-111325")</f>
        <v>CA-2015-111325</v>
      </c>
      <c r="B1021" s="27">
        <f>IFERROR(__xludf.DUMMYFUNCTION("""COMPUTED_VALUE"""),42062.0)</f>
        <v>42062</v>
      </c>
      <c r="C1021" s="26" t="str">
        <f>IFERROR(__xludf.DUMMYFUNCTION("""COMPUTED_VALUE"""),"Bill Tyler")</f>
        <v>Bill Tyler</v>
      </c>
      <c r="D1021" s="26" t="str">
        <f>IFERROR(__xludf.DUMMYFUNCTION("""COMPUTED_VALUE"""),"Corporate")</f>
        <v>Corporate</v>
      </c>
      <c r="E1021" s="26" t="str">
        <f>IFERROR(__xludf.DUMMYFUNCTION("""COMPUTED_VALUE"""),"East")</f>
        <v>East</v>
      </c>
      <c r="F1021" s="26">
        <f>IFERROR(__xludf.DUMMYFUNCTION("""COMPUTED_VALUE"""),4.419)</f>
        <v>4.419</v>
      </c>
      <c r="G1021" s="26">
        <f>IFERROR(__xludf.DUMMYFUNCTION("""COMPUTED_VALUE"""),3.0)</f>
        <v>3</v>
      </c>
      <c r="H1021" s="26">
        <f>IFERROR(__xludf.DUMMYFUNCTION("""COMPUTED_VALUE"""),-3.3879)</f>
        <v>-3.3879</v>
      </c>
    </row>
    <row r="1022">
      <c r="A1022" s="26" t="str">
        <f>IFERROR(__xludf.DUMMYFUNCTION("""COMPUTED_VALUE"""),"CA-2015-163762")</f>
        <v>CA-2015-163762</v>
      </c>
      <c r="B1022" s="27">
        <f>IFERROR(__xludf.DUMMYFUNCTION("""COMPUTED_VALUE"""),42335.0)</f>
        <v>42335</v>
      </c>
      <c r="C1022" s="26" t="str">
        <f>IFERROR(__xludf.DUMMYFUNCTION("""COMPUTED_VALUE"""),"Jeremy Ellison")</f>
        <v>Jeremy Ellison</v>
      </c>
      <c r="D1022" s="26" t="str">
        <f>IFERROR(__xludf.DUMMYFUNCTION("""COMPUTED_VALUE"""),"Consumer")</f>
        <v>Consumer</v>
      </c>
      <c r="E1022" s="26" t="str">
        <f>IFERROR(__xludf.DUMMYFUNCTION("""COMPUTED_VALUE"""),"East")</f>
        <v>East</v>
      </c>
      <c r="F1022" s="26">
        <f>IFERROR(__xludf.DUMMYFUNCTION("""COMPUTED_VALUE"""),29.79)</f>
        <v>29.79</v>
      </c>
      <c r="G1022" s="26">
        <f>IFERROR(__xludf.DUMMYFUNCTION("""COMPUTED_VALUE"""),3.0)</f>
        <v>3</v>
      </c>
      <c r="H1022" s="26">
        <f>IFERROR(__xludf.DUMMYFUNCTION("""COMPUTED_VALUE"""),12.5118)</f>
        <v>12.5118</v>
      </c>
    </row>
    <row r="1023">
      <c r="A1023" s="26" t="str">
        <f>IFERROR(__xludf.DUMMYFUNCTION("""COMPUTED_VALUE"""),"CA-2015-140984")</f>
        <v>CA-2015-140984</v>
      </c>
      <c r="B1023" s="27">
        <f>IFERROR(__xludf.DUMMYFUNCTION("""COMPUTED_VALUE"""),42261.0)</f>
        <v>42261</v>
      </c>
      <c r="C1023" s="26" t="str">
        <f>IFERROR(__xludf.DUMMYFUNCTION("""COMPUTED_VALUE"""),"Craig Carroll")</f>
        <v>Craig Carroll</v>
      </c>
      <c r="D1023" s="26" t="str">
        <f>IFERROR(__xludf.DUMMYFUNCTION("""COMPUTED_VALUE"""),"Consumer")</f>
        <v>Consumer</v>
      </c>
      <c r="E1023" s="26" t="str">
        <f>IFERROR(__xludf.DUMMYFUNCTION("""COMPUTED_VALUE"""),"East")</f>
        <v>East</v>
      </c>
      <c r="F1023" s="26">
        <f>IFERROR(__xludf.DUMMYFUNCTION("""COMPUTED_VALUE"""),991.2)</f>
        <v>991.2</v>
      </c>
      <c r="G1023" s="26">
        <f>IFERROR(__xludf.DUMMYFUNCTION("""COMPUTED_VALUE"""),6.0)</f>
        <v>6</v>
      </c>
      <c r="H1023" s="26">
        <f>IFERROR(__xludf.DUMMYFUNCTION("""COMPUTED_VALUE"""),257.712)</f>
        <v>257.712</v>
      </c>
    </row>
    <row r="1024">
      <c r="A1024" s="26" t="str">
        <f>IFERROR(__xludf.DUMMYFUNCTION("""COMPUTED_VALUE"""),"US-2015-111927")</f>
        <v>US-2015-111927</v>
      </c>
      <c r="B1024" s="27">
        <f>IFERROR(__xludf.DUMMYFUNCTION("""COMPUTED_VALUE"""),42322.0)</f>
        <v>42322</v>
      </c>
      <c r="C1024" s="26" t="str">
        <f>IFERROR(__xludf.DUMMYFUNCTION("""COMPUTED_VALUE"""),"Lycoris Saunders")</f>
        <v>Lycoris Saunders</v>
      </c>
      <c r="D1024" s="26" t="str">
        <f>IFERROR(__xludf.DUMMYFUNCTION("""COMPUTED_VALUE"""),"Consumer")</f>
        <v>Consumer</v>
      </c>
      <c r="E1024" s="26" t="str">
        <f>IFERROR(__xludf.DUMMYFUNCTION("""COMPUTED_VALUE"""),"East")</f>
        <v>East</v>
      </c>
      <c r="F1024" s="26">
        <f>IFERROR(__xludf.DUMMYFUNCTION("""COMPUTED_VALUE"""),76.14)</f>
        <v>76.14</v>
      </c>
      <c r="G1024" s="26">
        <f>IFERROR(__xludf.DUMMYFUNCTION("""COMPUTED_VALUE"""),3.0)</f>
        <v>3</v>
      </c>
      <c r="H1024" s="26">
        <f>IFERROR(__xludf.DUMMYFUNCTION("""COMPUTED_VALUE"""),26.649)</f>
        <v>26.649</v>
      </c>
    </row>
    <row r="1025">
      <c r="A1025" s="26" t="str">
        <f>IFERROR(__xludf.DUMMYFUNCTION("""COMPUTED_VALUE"""),"CA-2015-127593")</f>
        <v>CA-2015-127593</v>
      </c>
      <c r="B1025" s="27">
        <f>IFERROR(__xludf.DUMMYFUNCTION("""COMPUTED_VALUE"""),42268.0)</f>
        <v>42268</v>
      </c>
      <c r="C1025" s="26" t="str">
        <f>IFERROR(__xludf.DUMMYFUNCTION("""COMPUTED_VALUE"""),"Duane Huffman")</f>
        <v>Duane Huffman</v>
      </c>
      <c r="D1025" s="26" t="str">
        <f>IFERROR(__xludf.DUMMYFUNCTION("""COMPUTED_VALUE"""),"Home Office")</f>
        <v>Home Office</v>
      </c>
      <c r="E1025" s="26" t="str">
        <f>IFERROR(__xludf.DUMMYFUNCTION("""COMPUTED_VALUE"""),"East")</f>
        <v>East</v>
      </c>
      <c r="F1025" s="26">
        <f>IFERROR(__xludf.DUMMYFUNCTION("""COMPUTED_VALUE"""),85.3)</f>
        <v>85.3</v>
      </c>
      <c r="G1025" s="26">
        <f>IFERROR(__xludf.DUMMYFUNCTION("""COMPUTED_VALUE"""),2.0)</f>
        <v>2</v>
      </c>
      <c r="H1025" s="26">
        <f>IFERROR(__xludf.DUMMYFUNCTION("""COMPUTED_VALUE"""),14.501)</f>
        <v>14.501</v>
      </c>
    </row>
    <row r="1026">
      <c r="A1026" s="26" t="str">
        <f>IFERROR(__xludf.DUMMYFUNCTION("""COMPUTED_VALUE"""),"CA-2015-151043")</f>
        <v>CA-2015-151043</v>
      </c>
      <c r="B1026" s="27">
        <f>IFERROR(__xludf.DUMMYFUNCTION("""COMPUTED_VALUE"""),42322.0)</f>
        <v>42322</v>
      </c>
      <c r="C1026" s="26" t="str">
        <f>IFERROR(__xludf.DUMMYFUNCTION("""COMPUTED_VALUE"""),"Maureen Gastineau")</f>
        <v>Maureen Gastineau</v>
      </c>
      <c r="D1026" s="26" t="str">
        <f>IFERROR(__xludf.DUMMYFUNCTION("""COMPUTED_VALUE"""),"Home Office")</f>
        <v>Home Office</v>
      </c>
      <c r="E1026" s="26" t="str">
        <f>IFERROR(__xludf.DUMMYFUNCTION("""COMPUTED_VALUE"""),"East")</f>
        <v>East</v>
      </c>
      <c r="F1026" s="26">
        <f>IFERROR(__xludf.DUMMYFUNCTION("""COMPUTED_VALUE"""),47.984)</f>
        <v>47.984</v>
      </c>
      <c r="G1026" s="26">
        <f>IFERROR(__xludf.DUMMYFUNCTION("""COMPUTED_VALUE"""),2.0)</f>
        <v>2</v>
      </c>
      <c r="H1026" s="26">
        <f>IFERROR(__xludf.DUMMYFUNCTION("""COMPUTED_VALUE"""),-1.1996)</f>
        <v>-1.1996</v>
      </c>
    </row>
    <row r="1027">
      <c r="A1027" s="26" t="str">
        <f>IFERROR(__xludf.DUMMYFUNCTION("""COMPUTED_VALUE"""),"CA-2015-167010")</f>
        <v>CA-2015-167010</v>
      </c>
      <c r="B1027" s="27">
        <f>IFERROR(__xludf.DUMMYFUNCTION("""COMPUTED_VALUE"""),42099.0)</f>
        <v>42099</v>
      </c>
      <c r="C1027" s="26" t="str">
        <f>IFERROR(__xludf.DUMMYFUNCTION("""COMPUTED_VALUE"""),"Valerie Takahito")</f>
        <v>Valerie Takahito</v>
      </c>
      <c r="D1027" s="26" t="str">
        <f>IFERROR(__xludf.DUMMYFUNCTION("""COMPUTED_VALUE"""),"Home Office")</f>
        <v>Home Office</v>
      </c>
      <c r="E1027" s="26" t="str">
        <f>IFERROR(__xludf.DUMMYFUNCTION("""COMPUTED_VALUE"""),"East")</f>
        <v>East</v>
      </c>
      <c r="F1027" s="26">
        <f>IFERROR(__xludf.DUMMYFUNCTION("""COMPUTED_VALUE"""),98.112)</f>
        <v>98.112</v>
      </c>
      <c r="G1027" s="26">
        <f>IFERROR(__xludf.DUMMYFUNCTION("""COMPUTED_VALUE"""),7.0)</f>
        <v>7</v>
      </c>
      <c r="H1027" s="26">
        <f>IFERROR(__xludf.DUMMYFUNCTION("""COMPUTED_VALUE"""),18.396)</f>
        <v>18.396</v>
      </c>
    </row>
    <row r="1028">
      <c r="A1028" s="26" t="str">
        <f>IFERROR(__xludf.DUMMYFUNCTION("""COMPUTED_VALUE"""),"US-2015-166520")</f>
        <v>US-2015-166520</v>
      </c>
      <c r="B1028" s="27">
        <f>IFERROR(__xludf.DUMMYFUNCTION("""COMPUTED_VALUE"""),42201.0)</f>
        <v>42201</v>
      </c>
      <c r="C1028" s="26" t="str">
        <f>IFERROR(__xludf.DUMMYFUNCTION("""COMPUTED_VALUE"""),"Katrina Edelman")</f>
        <v>Katrina Edelman</v>
      </c>
      <c r="D1028" s="26" t="str">
        <f>IFERROR(__xludf.DUMMYFUNCTION("""COMPUTED_VALUE"""),"Corporate")</f>
        <v>Corporate</v>
      </c>
      <c r="E1028" s="26" t="str">
        <f>IFERROR(__xludf.DUMMYFUNCTION("""COMPUTED_VALUE"""),"East")</f>
        <v>East</v>
      </c>
      <c r="F1028" s="26">
        <f>IFERROR(__xludf.DUMMYFUNCTION("""COMPUTED_VALUE"""),80.88)</f>
        <v>80.88</v>
      </c>
      <c r="G1028" s="26">
        <f>IFERROR(__xludf.DUMMYFUNCTION("""COMPUTED_VALUE"""),3.0)</f>
        <v>3</v>
      </c>
      <c r="H1028" s="26">
        <f>IFERROR(__xludf.DUMMYFUNCTION("""COMPUTED_VALUE"""),39.6312)</f>
        <v>39.6312</v>
      </c>
    </row>
    <row r="1029">
      <c r="A1029" s="26" t="str">
        <f>IFERROR(__xludf.DUMMYFUNCTION("""COMPUTED_VALUE"""),"CA-2015-105599")</f>
        <v>CA-2015-105599</v>
      </c>
      <c r="B1029" s="27">
        <f>IFERROR(__xludf.DUMMYFUNCTION("""COMPUTED_VALUE"""),42254.0)</f>
        <v>42254</v>
      </c>
      <c r="C1029" s="26" t="str">
        <f>IFERROR(__xludf.DUMMYFUNCTION("""COMPUTED_VALUE"""),"Marc Crier")</f>
        <v>Marc Crier</v>
      </c>
      <c r="D1029" s="26" t="str">
        <f>IFERROR(__xludf.DUMMYFUNCTION("""COMPUTED_VALUE"""),"Consumer")</f>
        <v>Consumer</v>
      </c>
      <c r="E1029" s="26" t="str">
        <f>IFERROR(__xludf.DUMMYFUNCTION("""COMPUTED_VALUE"""),"East")</f>
        <v>East</v>
      </c>
      <c r="F1029" s="26">
        <f>IFERROR(__xludf.DUMMYFUNCTION("""COMPUTED_VALUE"""),13.96)</f>
        <v>13.96</v>
      </c>
      <c r="G1029" s="26">
        <f>IFERROR(__xludf.DUMMYFUNCTION("""COMPUTED_VALUE"""),2.0)</f>
        <v>2</v>
      </c>
      <c r="H1029" s="26">
        <f>IFERROR(__xludf.DUMMYFUNCTION("""COMPUTED_VALUE"""),0.2792)</f>
        <v>0.2792</v>
      </c>
    </row>
    <row r="1030">
      <c r="A1030" s="26" t="str">
        <f>IFERROR(__xludf.DUMMYFUNCTION("""COMPUTED_VALUE"""),"CA-2015-136196")</f>
        <v>CA-2015-136196</v>
      </c>
      <c r="B1030" s="27">
        <f>IFERROR(__xludf.DUMMYFUNCTION("""COMPUTED_VALUE"""),42336.0)</f>
        <v>42336</v>
      </c>
      <c r="C1030" s="26" t="str">
        <f>IFERROR(__xludf.DUMMYFUNCTION("""COMPUTED_VALUE"""),"Tom Prescott")</f>
        <v>Tom Prescott</v>
      </c>
      <c r="D1030" s="26" t="str">
        <f>IFERROR(__xludf.DUMMYFUNCTION("""COMPUTED_VALUE"""),"Consumer")</f>
        <v>Consumer</v>
      </c>
      <c r="E1030" s="26" t="str">
        <f>IFERROR(__xludf.DUMMYFUNCTION("""COMPUTED_VALUE"""),"East")</f>
        <v>East</v>
      </c>
      <c r="F1030" s="26">
        <f>IFERROR(__xludf.DUMMYFUNCTION("""COMPUTED_VALUE"""),322.59)</f>
        <v>322.59</v>
      </c>
      <c r="G1030" s="26">
        <f>IFERROR(__xludf.DUMMYFUNCTION("""COMPUTED_VALUE"""),3.0)</f>
        <v>3</v>
      </c>
      <c r="H1030" s="26">
        <f>IFERROR(__xludf.DUMMYFUNCTION("""COMPUTED_VALUE"""),64.518)</f>
        <v>64.518</v>
      </c>
    </row>
    <row r="1031">
      <c r="A1031" s="26" t="str">
        <f>IFERROR(__xludf.DUMMYFUNCTION("""COMPUTED_VALUE"""),"CA-2015-101091")</f>
        <v>CA-2015-101091</v>
      </c>
      <c r="B1031" s="27">
        <f>IFERROR(__xludf.DUMMYFUNCTION("""COMPUTED_VALUE"""),42343.0)</f>
        <v>42343</v>
      </c>
      <c r="C1031" s="26" t="str">
        <f>IFERROR(__xludf.DUMMYFUNCTION("""COMPUTED_VALUE"""),"Scot Wooten")</f>
        <v>Scot Wooten</v>
      </c>
      <c r="D1031" s="26" t="str">
        <f>IFERROR(__xludf.DUMMYFUNCTION("""COMPUTED_VALUE"""),"Consumer")</f>
        <v>Consumer</v>
      </c>
      <c r="E1031" s="26" t="str">
        <f>IFERROR(__xludf.DUMMYFUNCTION("""COMPUTED_VALUE"""),"East")</f>
        <v>East</v>
      </c>
      <c r="F1031" s="26">
        <f>IFERROR(__xludf.DUMMYFUNCTION("""COMPUTED_VALUE"""),47.984)</f>
        <v>47.984</v>
      </c>
      <c r="G1031" s="26">
        <f>IFERROR(__xludf.DUMMYFUNCTION("""COMPUTED_VALUE"""),2.0)</f>
        <v>2</v>
      </c>
      <c r="H1031" s="26">
        <f>IFERROR(__xludf.DUMMYFUNCTION("""COMPUTED_VALUE"""),0.5998)</f>
        <v>0.5998</v>
      </c>
    </row>
    <row r="1032">
      <c r="A1032" s="26" t="str">
        <f>IFERROR(__xludf.DUMMYFUNCTION("""COMPUTED_VALUE"""),"CA-2015-163587")</f>
        <v>CA-2015-163587</v>
      </c>
      <c r="B1032" s="27">
        <f>IFERROR(__xludf.DUMMYFUNCTION("""COMPUTED_VALUE"""),42077.0)</f>
        <v>42077</v>
      </c>
      <c r="C1032" s="26" t="str">
        <f>IFERROR(__xludf.DUMMYFUNCTION("""COMPUTED_VALUE"""),"Emily Phan")</f>
        <v>Emily Phan</v>
      </c>
      <c r="D1032" s="26" t="str">
        <f>IFERROR(__xludf.DUMMYFUNCTION("""COMPUTED_VALUE"""),"Consumer")</f>
        <v>Consumer</v>
      </c>
      <c r="E1032" s="26" t="str">
        <f>IFERROR(__xludf.DUMMYFUNCTION("""COMPUTED_VALUE"""),"East")</f>
        <v>East</v>
      </c>
      <c r="F1032" s="26">
        <f>IFERROR(__xludf.DUMMYFUNCTION("""COMPUTED_VALUE"""),16.52)</f>
        <v>16.52</v>
      </c>
      <c r="G1032" s="26">
        <f>IFERROR(__xludf.DUMMYFUNCTION("""COMPUTED_VALUE"""),4.0)</f>
        <v>4</v>
      </c>
      <c r="H1032" s="26">
        <f>IFERROR(__xludf.DUMMYFUNCTION("""COMPUTED_VALUE"""),7.5992)</f>
        <v>7.5992</v>
      </c>
    </row>
    <row r="1033">
      <c r="A1033" s="26" t="str">
        <f>IFERROR(__xludf.DUMMYFUNCTION("""COMPUTED_VALUE"""),"CA-2015-160213")</f>
        <v>CA-2015-160213</v>
      </c>
      <c r="B1033" s="27">
        <f>IFERROR(__xludf.DUMMYFUNCTION("""COMPUTED_VALUE"""),42071.0)</f>
        <v>42071</v>
      </c>
      <c r="C1033" s="26" t="str">
        <f>IFERROR(__xludf.DUMMYFUNCTION("""COMPUTED_VALUE"""),"Anthony Rawles")</f>
        <v>Anthony Rawles</v>
      </c>
      <c r="D1033" s="26" t="str">
        <f>IFERROR(__xludf.DUMMYFUNCTION("""COMPUTED_VALUE"""),"Corporate")</f>
        <v>Corporate</v>
      </c>
      <c r="E1033" s="26" t="str">
        <f>IFERROR(__xludf.DUMMYFUNCTION("""COMPUTED_VALUE"""),"East")</f>
        <v>East</v>
      </c>
      <c r="F1033" s="26">
        <f>IFERROR(__xludf.DUMMYFUNCTION("""COMPUTED_VALUE"""),19.44)</f>
        <v>19.44</v>
      </c>
      <c r="G1033" s="26">
        <f>IFERROR(__xludf.DUMMYFUNCTION("""COMPUTED_VALUE"""),3.0)</f>
        <v>3</v>
      </c>
      <c r="H1033" s="26">
        <f>IFERROR(__xludf.DUMMYFUNCTION("""COMPUTED_VALUE"""),9.3312)</f>
        <v>9.3312</v>
      </c>
    </row>
    <row r="1034">
      <c r="A1034" s="26" t="str">
        <f>IFERROR(__xludf.DUMMYFUNCTION("""COMPUTED_VALUE"""),"US-2015-134271")</f>
        <v>US-2015-134271</v>
      </c>
      <c r="B1034" s="27">
        <f>IFERROR(__xludf.DUMMYFUNCTION("""COMPUTED_VALUE"""),42112.0)</f>
        <v>42112</v>
      </c>
      <c r="C1034" s="26" t="str">
        <f>IFERROR(__xludf.DUMMYFUNCTION("""COMPUTED_VALUE"""),"Roland Fjeld")</f>
        <v>Roland Fjeld</v>
      </c>
      <c r="D1034" s="26" t="str">
        <f>IFERROR(__xludf.DUMMYFUNCTION("""COMPUTED_VALUE"""),"Consumer")</f>
        <v>Consumer</v>
      </c>
      <c r="E1034" s="26" t="str">
        <f>IFERROR(__xludf.DUMMYFUNCTION("""COMPUTED_VALUE"""),"East")</f>
        <v>East</v>
      </c>
      <c r="F1034" s="26">
        <f>IFERROR(__xludf.DUMMYFUNCTION("""COMPUTED_VALUE"""),21.93)</f>
        <v>21.93</v>
      </c>
      <c r="G1034" s="26">
        <f>IFERROR(__xludf.DUMMYFUNCTION("""COMPUTED_VALUE"""),3.0)</f>
        <v>3</v>
      </c>
      <c r="H1034" s="26">
        <f>IFERROR(__xludf.DUMMYFUNCTION("""COMPUTED_VALUE"""),10.3071)</f>
        <v>10.3071</v>
      </c>
    </row>
    <row r="1035">
      <c r="A1035" s="26" t="str">
        <f>IFERROR(__xludf.DUMMYFUNCTION("""COMPUTED_VALUE"""),"CA-2015-143105")</f>
        <v>CA-2015-143105</v>
      </c>
      <c r="B1035" s="27">
        <f>IFERROR(__xludf.DUMMYFUNCTION("""COMPUTED_VALUE"""),42348.0)</f>
        <v>42348</v>
      </c>
      <c r="C1035" s="26" t="str">
        <f>IFERROR(__xludf.DUMMYFUNCTION("""COMPUTED_VALUE"""),"Matt Abelman")</f>
        <v>Matt Abelman</v>
      </c>
      <c r="D1035" s="26" t="str">
        <f>IFERROR(__xludf.DUMMYFUNCTION("""COMPUTED_VALUE"""),"Home Office")</f>
        <v>Home Office</v>
      </c>
      <c r="E1035" s="26" t="str">
        <f>IFERROR(__xludf.DUMMYFUNCTION("""COMPUTED_VALUE"""),"East")</f>
        <v>East</v>
      </c>
      <c r="F1035" s="26">
        <f>IFERROR(__xludf.DUMMYFUNCTION("""COMPUTED_VALUE"""),7.31)</f>
        <v>7.31</v>
      </c>
      <c r="G1035" s="26">
        <f>IFERROR(__xludf.DUMMYFUNCTION("""COMPUTED_VALUE"""),1.0)</f>
        <v>1</v>
      </c>
      <c r="H1035" s="26">
        <f>IFERROR(__xludf.DUMMYFUNCTION("""COMPUTED_VALUE"""),3.4357)</f>
        <v>3.4357</v>
      </c>
    </row>
    <row r="1036">
      <c r="A1036" s="26" t="str">
        <f>IFERROR(__xludf.DUMMYFUNCTION("""COMPUTED_VALUE"""),"US-2015-147662")</f>
        <v>US-2015-147662</v>
      </c>
      <c r="B1036" s="27">
        <f>IFERROR(__xludf.DUMMYFUNCTION("""COMPUTED_VALUE"""),42049.0)</f>
        <v>42049</v>
      </c>
      <c r="C1036" s="26" t="str">
        <f>IFERROR(__xludf.DUMMYFUNCTION("""COMPUTED_VALUE"""),"Karl Braun")</f>
        <v>Karl Braun</v>
      </c>
      <c r="D1036" s="26" t="str">
        <f>IFERROR(__xludf.DUMMYFUNCTION("""COMPUTED_VALUE"""),"Consumer")</f>
        <v>Consumer</v>
      </c>
      <c r="E1036" s="26" t="str">
        <f>IFERROR(__xludf.DUMMYFUNCTION("""COMPUTED_VALUE"""),"East")</f>
        <v>East</v>
      </c>
      <c r="F1036" s="26">
        <f>IFERROR(__xludf.DUMMYFUNCTION("""COMPUTED_VALUE"""),14.952)</f>
        <v>14.952</v>
      </c>
      <c r="G1036" s="26">
        <f>IFERROR(__xludf.DUMMYFUNCTION("""COMPUTED_VALUE"""),2.0)</f>
        <v>2</v>
      </c>
      <c r="H1036" s="26">
        <f>IFERROR(__xludf.DUMMYFUNCTION("""COMPUTED_VALUE"""),-11.9616)</f>
        <v>-11.9616</v>
      </c>
    </row>
    <row r="1037">
      <c r="A1037" s="26" t="str">
        <f>IFERROR(__xludf.DUMMYFUNCTION("""COMPUTED_VALUE"""),"CA-2015-164336")</f>
        <v>CA-2015-164336</v>
      </c>
      <c r="B1037" s="27">
        <f>IFERROR(__xludf.DUMMYFUNCTION("""COMPUTED_VALUE"""),42190.0)</f>
        <v>42190</v>
      </c>
      <c r="C1037" s="26" t="str">
        <f>IFERROR(__xludf.DUMMYFUNCTION("""COMPUTED_VALUE"""),"Mitch Webber")</f>
        <v>Mitch Webber</v>
      </c>
      <c r="D1037" s="26" t="str">
        <f>IFERROR(__xludf.DUMMYFUNCTION("""COMPUTED_VALUE"""),"Consumer")</f>
        <v>Consumer</v>
      </c>
      <c r="E1037" s="26" t="str">
        <f>IFERROR(__xludf.DUMMYFUNCTION("""COMPUTED_VALUE"""),"East")</f>
        <v>East</v>
      </c>
      <c r="F1037" s="26">
        <f>IFERROR(__xludf.DUMMYFUNCTION("""COMPUTED_VALUE"""),34.8)</f>
        <v>34.8</v>
      </c>
      <c r="G1037" s="26">
        <f>IFERROR(__xludf.DUMMYFUNCTION("""COMPUTED_VALUE"""),3.0)</f>
        <v>3</v>
      </c>
      <c r="H1037" s="26">
        <f>IFERROR(__xludf.DUMMYFUNCTION("""COMPUTED_VALUE"""),2.175)</f>
        <v>2.175</v>
      </c>
    </row>
    <row r="1038">
      <c r="A1038" s="26" t="str">
        <f>IFERROR(__xludf.DUMMYFUNCTION("""COMPUTED_VALUE"""),"CA-2015-104129")</f>
        <v>CA-2015-104129</v>
      </c>
      <c r="B1038" s="27">
        <f>IFERROR(__xludf.DUMMYFUNCTION("""COMPUTED_VALUE"""),42062.0)</f>
        <v>42062</v>
      </c>
      <c r="C1038" s="26" t="str">
        <f>IFERROR(__xludf.DUMMYFUNCTION("""COMPUTED_VALUE"""),"Erin Smith")</f>
        <v>Erin Smith</v>
      </c>
      <c r="D1038" s="26" t="str">
        <f>IFERROR(__xludf.DUMMYFUNCTION("""COMPUTED_VALUE"""),"Corporate")</f>
        <v>Corporate</v>
      </c>
      <c r="E1038" s="26" t="str">
        <f>IFERROR(__xludf.DUMMYFUNCTION("""COMPUTED_VALUE"""),"East")</f>
        <v>East</v>
      </c>
      <c r="F1038" s="26">
        <f>IFERROR(__xludf.DUMMYFUNCTION("""COMPUTED_VALUE"""),105.98)</f>
        <v>105.98</v>
      </c>
      <c r="G1038" s="26">
        <f>IFERROR(__xludf.DUMMYFUNCTION("""COMPUTED_VALUE"""),2.0)</f>
        <v>2</v>
      </c>
      <c r="H1038" s="26">
        <f>IFERROR(__xludf.DUMMYFUNCTION("""COMPUTED_VALUE"""),1.0598)</f>
        <v>1.0598</v>
      </c>
    </row>
    <row r="1039">
      <c r="A1039" s="26" t="str">
        <f>IFERROR(__xludf.DUMMYFUNCTION("""COMPUTED_VALUE"""),"CA-2015-146948")</f>
        <v>CA-2015-146948</v>
      </c>
      <c r="B1039" s="27">
        <f>IFERROR(__xludf.DUMMYFUNCTION("""COMPUTED_VALUE"""),42201.0)</f>
        <v>42201</v>
      </c>
      <c r="C1039" s="26" t="str">
        <f>IFERROR(__xludf.DUMMYFUNCTION("""COMPUTED_VALUE"""),"Michael Granlund")</f>
        <v>Michael Granlund</v>
      </c>
      <c r="D1039" s="26" t="str">
        <f>IFERROR(__xludf.DUMMYFUNCTION("""COMPUTED_VALUE"""),"Home Office")</f>
        <v>Home Office</v>
      </c>
      <c r="E1039" s="26" t="str">
        <f>IFERROR(__xludf.DUMMYFUNCTION("""COMPUTED_VALUE"""),"East")</f>
        <v>East</v>
      </c>
      <c r="F1039" s="26">
        <f>IFERROR(__xludf.DUMMYFUNCTION("""COMPUTED_VALUE"""),150.98)</f>
        <v>150.98</v>
      </c>
      <c r="G1039" s="26">
        <f>IFERROR(__xludf.DUMMYFUNCTION("""COMPUTED_VALUE"""),1.0)</f>
        <v>1</v>
      </c>
      <c r="H1039" s="26">
        <f>IFERROR(__xludf.DUMMYFUNCTION("""COMPUTED_VALUE"""),43.7842)</f>
        <v>43.7842</v>
      </c>
    </row>
    <row r="1040">
      <c r="A1040" s="26" t="str">
        <f>IFERROR(__xludf.DUMMYFUNCTION("""COMPUTED_VALUE"""),"CA-2015-135020")</f>
        <v>CA-2015-135020</v>
      </c>
      <c r="B1040" s="27">
        <f>IFERROR(__xludf.DUMMYFUNCTION("""COMPUTED_VALUE"""),42152.0)</f>
        <v>42152</v>
      </c>
      <c r="C1040" s="26" t="str">
        <f>IFERROR(__xludf.DUMMYFUNCTION("""COMPUTED_VALUE"""),"Maxwell Schwartz")</f>
        <v>Maxwell Schwartz</v>
      </c>
      <c r="D1040" s="26" t="str">
        <f>IFERROR(__xludf.DUMMYFUNCTION("""COMPUTED_VALUE"""),"Consumer")</f>
        <v>Consumer</v>
      </c>
      <c r="E1040" s="26" t="str">
        <f>IFERROR(__xludf.DUMMYFUNCTION("""COMPUTED_VALUE"""),"East")</f>
        <v>East</v>
      </c>
      <c r="F1040" s="26">
        <f>IFERROR(__xludf.DUMMYFUNCTION("""COMPUTED_VALUE"""),45.99)</f>
        <v>45.99</v>
      </c>
      <c r="G1040" s="26">
        <f>IFERROR(__xludf.DUMMYFUNCTION("""COMPUTED_VALUE"""),1.0)</f>
        <v>1</v>
      </c>
      <c r="H1040" s="26">
        <f>IFERROR(__xludf.DUMMYFUNCTION("""COMPUTED_VALUE"""),13.3371)</f>
        <v>13.3371</v>
      </c>
    </row>
    <row r="1041">
      <c r="A1041" s="26" t="str">
        <f>IFERROR(__xludf.DUMMYFUNCTION("""COMPUTED_VALUE"""),"CA-2015-117800")</f>
        <v>CA-2015-117800</v>
      </c>
      <c r="B1041" s="27">
        <f>IFERROR(__xludf.DUMMYFUNCTION("""COMPUTED_VALUE"""),42268.0)</f>
        <v>42268</v>
      </c>
      <c r="C1041" s="26" t="str">
        <f>IFERROR(__xludf.DUMMYFUNCTION("""COMPUTED_VALUE"""),"Tracy Hopkins")</f>
        <v>Tracy Hopkins</v>
      </c>
      <c r="D1041" s="26" t="str">
        <f>IFERROR(__xludf.DUMMYFUNCTION("""COMPUTED_VALUE"""),"Home Office")</f>
        <v>Home Office</v>
      </c>
      <c r="E1041" s="26" t="str">
        <f>IFERROR(__xludf.DUMMYFUNCTION("""COMPUTED_VALUE"""),"East")</f>
        <v>East</v>
      </c>
      <c r="F1041" s="26">
        <f>IFERROR(__xludf.DUMMYFUNCTION("""COMPUTED_VALUE"""),589.9)</f>
        <v>589.9</v>
      </c>
      <c r="G1041" s="26">
        <f>IFERROR(__xludf.DUMMYFUNCTION("""COMPUTED_VALUE"""),2.0)</f>
        <v>2</v>
      </c>
      <c r="H1041" s="26">
        <f>IFERROR(__xludf.DUMMYFUNCTION("""COMPUTED_VALUE"""),147.475)</f>
        <v>147.475</v>
      </c>
    </row>
    <row r="1042">
      <c r="A1042" s="26" t="str">
        <f>IFERROR(__xludf.DUMMYFUNCTION("""COMPUTED_VALUE"""),"CA-2015-161214")</f>
        <v>CA-2015-161214</v>
      </c>
      <c r="B1042" s="27">
        <f>IFERROR(__xludf.DUMMYFUNCTION("""COMPUTED_VALUE"""),42282.0)</f>
        <v>42282</v>
      </c>
      <c r="C1042" s="26" t="str">
        <f>IFERROR(__xludf.DUMMYFUNCTION("""COMPUTED_VALUE"""),"Sylvia Foulston")</f>
        <v>Sylvia Foulston</v>
      </c>
      <c r="D1042" s="26" t="str">
        <f>IFERROR(__xludf.DUMMYFUNCTION("""COMPUTED_VALUE"""),"Corporate")</f>
        <v>Corporate</v>
      </c>
      <c r="E1042" s="26" t="str">
        <f>IFERROR(__xludf.DUMMYFUNCTION("""COMPUTED_VALUE"""),"East")</f>
        <v>East</v>
      </c>
      <c r="F1042" s="26">
        <f>IFERROR(__xludf.DUMMYFUNCTION("""COMPUTED_VALUE"""),77.55)</f>
        <v>77.55</v>
      </c>
      <c r="G1042" s="26">
        <f>IFERROR(__xludf.DUMMYFUNCTION("""COMPUTED_VALUE"""),5.0)</f>
        <v>5</v>
      </c>
      <c r="H1042" s="26">
        <f>IFERROR(__xludf.DUMMYFUNCTION("""COMPUTED_VALUE"""),21.714)</f>
        <v>21.714</v>
      </c>
    </row>
    <row r="1043">
      <c r="A1043" s="26" t="str">
        <f>IFERROR(__xludf.DUMMYFUNCTION("""COMPUTED_VALUE"""),"CA-2015-112130")</f>
        <v>CA-2015-112130</v>
      </c>
      <c r="B1043" s="27">
        <f>IFERROR(__xludf.DUMMYFUNCTION("""COMPUTED_VALUE"""),42127.0)</f>
        <v>42127</v>
      </c>
      <c r="C1043" s="26" t="str">
        <f>IFERROR(__xludf.DUMMYFUNCTION("""COMPUTED_VALUE"""),"Stewart Visinsky")</f>
        <v>Stewart Visinsky</v>
      </c>
      <c r="D1043" s="26" t="str">
        <f>IFERROR(__xludf.DUMMYFUNCTION("""COMPUTED_VALUE"""),"Consumer")</f>
        <v>Consumer</v>
      </c>
      <c r="E1043" s="26" t="str">
        <f>IFERROR(__xludf.DUMMYFUNCTION("""COMPUTED_VALUE"""),"East")</f>
        <v>East</v>
      </c>
      <c r="F1043" s="26">
        <f>IFERROR(__xludf.DUMMYFUNCTION("""COMPUTED_VALUE"""),59.904)</f>
        <v>59.904</v>
      </c>
      <c r="G1043" s="26">
        <f>IFERROR(__xludf.DUMMYFUNCTION("""COMPUTED_VALUE"""),2.0)</f>
        <v>2</v>
      </c>
      <c r="H1043" s="26">
        <f>IFERROR(__xludf.DUMMYFUNCTION("""COMPUTED_VALUE"""),14.2272)</f>
        <v>14.2272</v>
      </c>
    </row>
    <row r="1044">
      <c r="A1044" s="26" t="str">
        <f>IFERROR(__xludf.DUMMYFUNCTION("""COMPUTED_VALUE"""),"CA-2015-129042")</f>
        <v>CA-2015-129042</v>
      </c>
      <c r="B1044" s="27">
        <f>IFERROR(__xludf.DUMMYFUNCTION("""COMPUTED_VALUE"""),42350.0)</f>
        <v>42350</v>
      </c>
      <c r="C1044" s="26" t="str">
        <f>IFERROR(__xludf.DUMMYFUNCTION("""COMPUTED_VALUE"""),"Eric Murdock")</f>
        <v>Eric Murdock</v>
      </c>
      <c r="D1044" s="26" t="str">
        <f>IFERROR(__xludf.DUMMYFUNCTION("""COMPUTED_VALUE"""),"Consumer")</f>
        <v>Consumer</v>
      </c>
      <c r="E1044" s="26" t="str">
        <f>IFERROR(__xludf.DUMMYFUNCTION("""COMPUTED_VALUE"""),"East")</f>
        <v>East</v>
      </c>
      <c r="F1044" s="26">
        <f>IFERROR(__xludf.DUMMYFUNCTION("""COMPUTED_VALUE"""),8.22)</f>
        <v>8.22</v>
      </c>
      <c r="G1044" s="26">
        <f>IFERROR(__xludf.DUMMYFUNCTION("""COMPUTED_VALUE"""),3.0)</f>
        <v>3</v>
      </c>
      <c r="H1044" s="26">
        <f>IFERROR(__xludf.DUMMYFUNCTION("""COMPUTED_VALUE"""),2.2194)</f>
        <v>2.2194</v>
      </c>
    </row>
    <row r="1045">
      <c r="A1045" s="26" t="str">
        <f>IFERROR(__xludf.DUMMYFUNCTION("""COMPUTED_VALUE"""),"CA-2015-155054")</f>
        <v>CA-2015-155054</v>
      </c>
      <c r="B1045" s="27">
        <f>IFERROR(__xludf.DUMMYFUNCTION("""COMPUTED_VALUE"""),42168.0)</f>
        <v>42168</v>
      </c>
      <c r="C1045" s="26" t="str">
        <f>IFERROR(__xludf.DUMMYFUNCTION("""COMPUTED_VALUE"""),"Penelope Sewall")</f>
        <v>Penelope Sewall</v>
      </c>
      <c r="D1045" s="26" t="str">
        <f>IFERROR(__xludf.DUMMYFUNCTION("""COMPUTED_VALUE"""),"Home Office")</f>
        <v>Home Office</v>
      </c>
      <c r="E1045" s="26" t="str">
        <f>IFERROR(__xludf.DUMMYFUNCTION("""COMPUTED_VALUE"""),"East")</f>
        <v>East</v>
      </c>
      <c r="F1045" s="26">
        <f>IFERROR(__xludf.DUMMYFUNCTION("""COMPUTED_VALUE"""),8.26)</f>
        <v>8.26</v>
      </c>
      <c r="G1045" s="26">
        <f>IFERROR(__xludf.DUMMYFUNCTION("""COMPUTED_VALUE"""),2.0)</f>
        <v>2</v>
      </c>
      <c r="H1045" s="26">
        <f>IFERROR(__xludf.DUMMYFUNCTION("""COMPUTED_VALUE"""),3.8822)</f>
        <v>3.8822</v>
      </c>
    </row>
    <row r="1046">
      <c r="A1046" s="26" t="str">
        <f>IFERROR(__xludf.DUMMYFUNCTION("""COMPUTED_VALUE"""),"CA-2015-118227")</f>
        <v>CA-2015-118227</v>
      </c>
      <c r="B1046" s="27">
        <f>IFERROR(__xludf.DUMMYFUNCTION("""COMPUTED_VALUE"""),42118.0)</f>
        <v>42118</v>
      </c>
      <c r="C1046" s="26" t="str">
        <f>IFERROR(__xludf.DUMMYFUNCTION("""COMPUTED_VALUE"""),"Deborah Brumfield")</f>
        <v>Deborah Brumfield</v>
      </c>
      <c r="D1046" s="26" t="str">
        <f>IFERROR(__xludf.DUMMYFUNCTION("""COMPUTED_VALUE"""),"Home Office")</f>
        <v>Home Office</v>
      </c>
      <c r="E1046" s="26" t="str">
        <f>IFERROR(__xludf.DUMMYFUNCTION("""COMPUTED_VALUE"""),"East")</f>
        <v>East</v>
      </c>
      <c r="F1046" s="26">
        <f>IFERROR(__xludf.DUMMYFUNCTION("""COMPUTED_VALUE"""),25.99)</f>
        <v>25.99</v>
      </c>
      <c r="G1046" s="26">
        <f>IFERROR(__xludf.DUMMYFUNCTION("""COMPUTED_VALUE"""),1.0)</f>
        <v>1</v>
      </c>
      <c r="H1046" s="26">
        <f>IFERROR(__xludf.DUMMYFUNCTION("""COMPUTED_VALUE"""),7.5371)</f>
        <v>7.5371</v>
      </c>
    </row>
    <row r="1047">
      <c r="A1047" s="26" t="str">
        <f>IFERROR(__xludf.DUMMYFUNCTION("""COMPUTED_VALUE"""),"US-2015-141684")</f>
        <v>US-2015-141684</v>
      </c>
      <c r="B1047" s="27">
        <f>IFERROR(__xludf.DUMMYFUNCTION("""COMPUTED_VALUE"""),42184.0)</f>
        <v>42184</v>
      </c>
      <c r="C1047" s="26" t="str">
        <f>IFERROR(__xludf.DUMMYFUNCTION("""COMPUTED_VALUE"""),"Michelle Moray")</f>
        <v>Michelle Moray</v>
      </c>
      <c r="D1047" s="26" t="str">
        <f>IFERROR(__xludf.DUMMYFUNCTION("""COMPUTED_VALUE"""),"Consumer")</f>
        <v>Consumer</v>
      </c>
      <c r="E1047" s="26" t="str">
        <f>IFERROR(__xludf.DUMMYFUNCTION("""COMPUTED_VALUE"""),"East")</f>
        <v>East</v>
      </c>
      <c r="F1047" s="26">
        <f>IFERROR(__xludf.DUMMYFUNCTION("""COMPUTED_VALUE"""),24.96)</f>
        <v>24.96</v>
      </c>
      <c r="G1047" s="26">
        <f>IFERROR(__xludf.DUMMYFUNCTION("""COMPUTED_VALUE"""),4.0)</f>
        <v>4</v>
      </c>
      <c r="H1047" s="26">
        <f>IFERROR(__xludf.DUMMYFUNCTION("""COMPUTED_VALUE"""),11.232)</f>
        <v>11.232</v>
      </c>
    </row>
    <row r="1048">
      <c r="A1048" s="26" t="str">
        <f>IFERROR(__xludf.DUMMYFUNCTION("""COMPUTED_VALUE"""),"CA-2015-124044")</f>
        <v>CA-2015-124044</v>
      </c>
      <c r="B1048" s="27">
        <f>IFERROR(__xludf.DUMMYFUNCTION("""COMPUTED_VALUE"""),42208.0)</f>
        <v>42208</v>
      </c>
      <c r="C1048" s="26" t="str">
        <f>IFERROR(__xludf.DUMMYFUNCTION("""COMPUTED_VALUE"""),"Melanie Seite")</f>
        <v>Melanie Seite</v>
      </c>
      <c r="D1048" s="26" t="str">
        <f>IFERROR(__xludf.DUMMYFUNCTION("""COMPUTED_VALUE"""),"Consumer")</f>
        <v>Consumer</v>
      </c>
      <c r="E1048" s="26" t="str">
        <f>IFERROR(__xludf.DUMMYFUNCTION("""COMPUTED_VALUE"""),"East")</f>
        <v>East</v>
      </c>
      <c r="F1048" s="26">
        <f>IFERROR(__xludf.DUMMYFUNCTION("""COMPUTED_VALUE"""),10.512)</f>
        <v>10.512</v>
      </c>
      <c r="G1048" s="26">
        <f>IFERROR(__xludf.DUMMYFUNCTION("""COMPUTED_VALUE"""),3.0)</f>
        <v>3</v>
      </c>
      <c r="H1048" s="26">
        <f>IFERROR(__xludf.DUMMYFUNCTION("""COMPUTED_VALUE"""),3.6792)</f>
        <v>3.6792</v>
      </c>
    </row>
    <row r="1049">
      <c r="A1049" s="26" t="str">
        <f>IFERROR(__xludf.DUMMYFUNCTION("""COMPUTED_VALUE"""),"CA-2015-156482")</f>
        <v>CA-2015-156482</v>
      </c>
      <c r="B1049" s="27">
        <f>IFERROR(__xludf.DUMMYFUNCTION("""COMPUTED_VALUE"""),42041.0)</f>
        <v>42041</v>
      </c>
      <c r="C1049" s="26" t="str">
        <f>IFERROR(__xludf.DUMMYFUNCTION("""COMPUTED_VALUE"""),"Ivan Liston")</f>
        <v>Ivan Liston</v>
      </c>
      <c r="D1049" s="26" t="str">
        <f>IFERROR(__xludf.DUMMYFUNCTION("""COMPUTED_VALUE"""),"Consumer")</f>
        <v>Consumer</v>
      </c>
      <c r="E1049" s="26" t="str">
        <f>IFERROR(__xludf.DUMMYFUNCTION("""COMPUTED_VALUE"""),"East")</f>
        <v>East</v>
      </c>
      <c r="F1049" s="26">
        <f>IFERROR(__xludf.DUMMYFUNCTION("""COMPUTED_VALUE"""),1268.82)</f>
        <v>1268.82</v>
      </c>
      <c r="G1049" s="26">
        <f>IFERROR(__xludf.DUMMYFUNCTION("""COMPUTED_VALUE"""),9.0)</f>
        <v>9</v>
      </c>
      <c r="H1049" s="26">
        <f>IFERROR(__xludf.DUMMYFUNCTION("""COMPUTED_VALUE"""),266.4522)</f>
        <v>266.4522</v>
      </c>
    </row>
    <row r="1050">
      <c r="A1050" s="26" t="str">
        <f>IFERROR(__xludf.DUMMYFUNCTION("""COMPUTED_VALUE"""),"CA-2015-153906")</f>
        <v>CA-2015-153906</v>
      </c>
      <c r="B1050" s="27">
        <f>IFERROR(__xludf.DUMMYFUNCTION("""COMPUTED_VALUE"""),42079.0)</f>
        <v>42079</v>
      </c>
      <c r="C1050" s="26" t="str">
        <f>IFERROR(__xludf.DUMMYFUNCTION("""COMPUTED_VALUE"""),"Michael Stewart")</f>
        <v>Michael Stewart</v>
      </c>
      <c r="D1050" s="26" t="str">
        <f>IFERROR(__xludf.DUMMYFUNCTION("""COMPUTED_VALUE"""),"Corporate")</f>
        <v>Corporate</v>
      </c>
      <c r="E1050" s="26" t="str">
        <f>IFERROR(__xludf.DUMMYFUNCTION("""COMPUTED_VALUE"""),"East")</f>
        <v>East</v>
      </c>
      <c r="F1050" s="26">
        <f>IFERROR(__xludf.DUMMYFUNCTION("""COMPUTED_VALUE"""),85.9)</f>
        <v>85.9</v>
      </c>
      <c r="G1050" s="26">
        <f>IFERROR(__xludf.DUMMYFUNCTION("""COMPUTED_VALUE"""),2.0)</f>
        <v>2</v>
      </c>
      <c r="H1050" s="26">
        <f>IFERROR(__xludf.DUMMYFUNCTION("""COMPUTED_VALUE"""),2.577)</f>
        <v>2.577</v>
      </c>
    </row>
    <row r="1051">
      <c r="A1051" s="26" t="str">
        <f>IFERROR(__xludf.DUMMYFUNCTION("""COMPUTED_VALUE"""),"CA-2015-122406")</f>
        <v>CA-2015-122406</v>
      </c>
      <c r="B1051" s="27">
        <f>IFERROR(__xludf.DUMMYFUNCTION("""COMPUTED_VALUE"""),42218.0)</f>
        <v>42218</v>
      </c>
      <c r="C1051" s="26" t="str">
        <f>IFERROR(__xludf.DUMMYFUNCTION("""COMPUTED_VALUE"""),"Brad Eason")</f>
        <v>Brad Eason</v>
      </c>
      <c r="D1051" s="26" t="str">
        <f>IFERROR(__xludf.DUMMYFUNCTION("""COMPUTED_VALUE"""),"Home Office")</f>
        <v>Home Office</v>
      </c>
      <c r="E1051" s="26" t="str">
        <f>IFERROR(__xludf.DUMMYFUNCTION("""COMPUTED_VALUE"""),"East")</f>
        <v>East</v>
      </c>
      <c r="F1051" s="26">
        <f>IFERROR(__xludf.DUMMYFUNCTION("""COMPUTED_VALUE"""),128.85)</f>
        <v>128.85</v>
      </c>
      <c r="G1051" s="26">
        <f>IFERROR(__xludf.DUMMYFUNCTION("""COMPUTED_VALUE"""),3.0)</f>
        <v>3</v>
      </c>
      <c r="H1051" s="26">
        <f>IFERROR(__xludf.DUMMYFUNCTION("""COMPUTED_VALUE"""),3.8655)</f>
        <v>3.8655</v>
      </c>
    </row>
    <row r="1052">
      <c r="A1052" s="26" t="str">
        <f>IFERROR(__xludf.DUMMYFUNCTION("""COMPUTED_VALUE"""),"CA-2015-165050")</f>
        <v>CA-2015-165050</v>
      </c>
      <c r="B1052" s="27">
        <f>IFERROR(__xludf.DUMMYFUNCTION("""COMPUTED_VALUE"""),42345.0)</f>
        <v>42345</v>
      </c>
      <c r="C1052" s="26" t="str">
        <f>IFERROR(__xludf.DUMMYFUNCTION("""COMPUTED_VALUE"""),"Alan Hwang")</f>
        <v>Alan Hwang</v>
      </c>
      <c r="D1052" s="26" t="str">
        <f>IFERROR(__xludf.DUMMYFUNCTION("""COMPUTED_VALUE"""),"Consumer")</f>
        <v>Consumer</v>
      </c>
      <c r="E1052" s="26" t="str">
        <f>IFERROR(__xludf.DUMMYFUNCTION("""COMPUTED_VALUE"""),"East")</f>
        <v>East</v>
      </c>
      <c r="F1052" s="26">
        <f>IFERROR(__xludf.DUMMYFUNCTION("""COMPUTED_VALUE"""),21.36)</f>
        <v>21.36</v>
      </c>
      <c r="G1052" s="26">
        <f>IFERROR(__xludf.DUMMYFUNCTION("""COMPUTED_VALUE"""),5.0)</f>
        <v>5</v>
      </c>
      <c r="H1052" s="26">
        <f>IFERROR(__xludf.DUMMYFUNCTION("""COMPUTED_VALUE"""),7.209)</f>
        <v>7.209</v>
      </c>
    </row>
    <row r="1053">
      <c r="A1053" s="26" t="str">
        <f>IFERROR(__xludf.DUMMYFUNCTION("""COMPUTED_VALUE"""),"CA-2015-169796")</f>
        <v>CA-2015-169796</v>
      </c>
      <c r="B1053" s="27">
        <f>IFERROR(__xludf.DUMMYFUNCTION("""COMPUTED_VALUE"""),42317.0)</f>
        <v>42317</v>
      </c>
      <c r="C1053" s="26" t="str">
        <f>IFERROR(__xludf.DUMMYFUNCTION("""COMPUTED_VALUE"""),"Dean percer")</f>
        <v>Dean percer</v>
      </c>
      <c r="D1053" s="26" t="str">
        <f>IFERROR(__xludf.DUMMYFUNCTION("""COMPUTED_VALUE"""),"Home Office")</f>
        <v>Home Office</v>
      </c>
      <c r="E1053" s="26" t="str">
        <f>IFERROR(__xludf.DUMMYFUNCTION("""COMPUTED_VALUE"""),"East")</f>
        <v>East</v>
      </c>
      <c r="F1053" s="26">
        <f>IFERROR(__xludf.DUMMYFUNCTION("""COMPUTED_VALUE"""),2321.9)</f>
        <v>2321.9</v>
      </c>
      <c r="G1053" s="26">
        <f>IFERROR(__xludf.DUMMYFUNCTION("""COMPUTED_VALUE"""),2.0)</f>
        <v>2</v>
      </c>
      <c r="H1053" s="26">
        <f>IFERROR(__xludf.DUMMYFUNCTION("""COMPUTED_VALUE"""),1114.512)</f>
        <v>1114.512</v>
      </c>
    </row>
    <row r="1054">
      <c r="A1054" s="26" t="str">
        <f>IFERROR(__xludf.DUMMYFUNCTION("""COMPUTED_VALUE"""),"CA-2015-102876")</f>
        <v>CA-2015-102876</v>
      </c>
      <c r="B1054" s="27">
        <f>IFERROR(__xludf.DUMMYFUNCTION("""COMPUTED_VALUE"""),42254.0)</f>
        <v>42254</v>
      </c>
      <c r="C1054" s="26" t="str">
        <f>IFERROR(__xludf.DUMMYFUNCTION("""COMPUTED_VALUE"""),"Lisa Ryan")</f>
        <v>Lisa Ryan</v>
      </c>
      <c r="D1054" s="26" t="str">
        <f>IFERROR(__xludf.DUMMYFUNCTION("""COMPUTED_VALUE"""),"Corporate")</f>
        <v>Corporate</v>
      </c>
      <c r="E1054" s="26" t="str">
        <f>IFERROR(__xludf.DUMMYFUNCTION("""COMPUTED_VALUE"""),"East")</f>
        <v>East</v>
      </c>
      <c r="F1054" s="26">
        <f>IFERROR(__xludf.DUMMYFUNCTION("""COMPUTED_VALUE"""),9.522)</f>
        <v>9.522</v>
      </c>
      <c r="G1054" s="26">
        <f>IFERROR(__xludf.DUMMYFUNCTION("""COMPUTED_VALUE"""),1.0)</f>
        <v>1</v>
      </c>
      <c r="H1054" s="26">
        <f>IFERROR(__xludf.DUMMYFUNCTION("""COMPUTED_VALUE"""),-6.9828)</f>
        <v>-6.9828</v>
      </c>
    </row>
    <row r="1055">
      <c r="A1055" s="26" t="str">
        <f>IFERROR(__xludf.DUMMYFUNCTION("""COMPUTED_VALUE"""),"CA-2015-136469")</f>
        <v>CA-2015-136469</v>
      </c>
      <c r="B1055" s="27">
        <f>IFERROR(__xludf.DUMMYFUNCTION("""COMPUTED_VALUE"""),42196.0)</f>
        <v>42196</v>
      </c>
      <c r="C1055" s="26" t="str">
        <f>IFERROR(__xludf.DUMMYFUNCTION("""COMPUTED_VALUE"""),"Todd Sumrall")</f>
        <v>Todd Sumrall</v>
      </c>
      <c r="D1055" s="26" t="str">
        <f>IFERROR(__xludf.DUMMYFUNCTION("""COMPUTED_VALUE"""),"Corporate")</f>
        <v>Corporate</v>
      </c>
      <c r="E1055" s="26" t="str">
        <f>IFERROR(__xludf.DUMMYFUNCTION("""COMPUTED_VALUE"""),"East")</f>
        <v>East</v>
      </c>
      <c r="F1055" s="26">
        <f>IFERROR(__xludf.DUMMYFUNCTION("""COMPUTED_VALUE"""),199.836)</f>
        <v>199.836</v>
      </c>
      <c r="G1055" s="26">
        <f>IFERROR(__xludf.DUMMYFUNCTION("""COMPUTED_VALUE"""),4.0)</f>
        <v>4</v>
      </c>
      <c r="H1055" s="26">
        <f>IFERROR(__xludf.DUMMYFUNCTION("""COMPUTED_VALUE"""),-37.1124)</f>
        <v>-37.1124</v>
      </c>
    </row>
    <row r="1056">
      <c r="A1056" s="26" t="str">
        <f>IFERROR(__xludf.DUMMYFUNCTION("""COMPUTED_VALUE"""),"CA-2015-134922")</f>
        <v>CA-2015-134922</v>
      </c>
      <c r="B1056" s="27">
        <f>IFERROR(__xludf.DUMMYFUNCTION("""COMPUTED_VALUE"""),42315.0)</f>
        <v>42315</v>
      </c>
      <c r="C1056" s="26" t="str">
        <f>IFERROR(__xludf.DUMMYFUNCTION("""COMPUTED_VALUE"""),"Karen Bern")</f>
        <v>Karen Bern</v>
      </c>
      <c r="D1056" s="26" t="str">
        <f>IFERROR(__xludf.DUMMYFUNCTION("""COMPUTED_VALUE"""),"Corporate")</f>
        <v>Corporate</v>
      </c>
      <c r="E1056" s="26" t="str">
        <f>IFERROR(__xludf.DUMMYFUNCTION("""COMPUTED_VALUE"""),"East")</f>
        <v>East</v>
      </c>
      <c r="F1056" s="26">
        <f>IFERROR(__xludf.DUMMYFUNCTION("""COMPUTED_VALUE"""),24.4)</f>
        <v>24.4</v>
      </c>
      <c r="G1056" s="26">
        <f>IFERROR(__xludf.DUMMYFUNCTION("""COMPUTED_VALUE"""),2.0)</f>
        <v>2</v>
      </c>
      <c r="H1056" s="26">
        <f>IFERROR(__xludf.DUMMYFUNCTION("""COMPUTED_VALUE"""),7.93)</f>
        <v>7.93</v>
      </c>
    </row>
    <row r="1057">
      <c r="A1057" s="26" t="str">
        <f>IFERROR(__xludf.DUMMYFUNCTION("""COMPUTED_VALUE"""),"US-2015-137533")</f>
        <v>US-2015-137533</v>
      </c>
      <c r="B1057" s="27">
        <f>IFERROR(__xludf.DUMMYFUNCTION("""COMPUTED_VALUE"""),42356.0)</f>
        <v>42356</v>
      </c>
      <c r="C1057" s="26" t="str">
        <f>IFERROR(__xludf.DUMMYFUNCTION("""COMPUTED_VALUE"""),"Jim Kriz")</f>
        <v>Jim Kriz</v>
      </c>
      <c r="D1057" s="26" t="str">
        <f>IFERROR(__xludf.DUMMYFUNCTION("""COMPUTED_VALUE"""),"Home Office")</f>
        <v>Home Office</v>
      </c>
      <c r="E1057" s="26" t="str">
        <f>IFERROR(__xludf.DUMMYFUNCTION("""COMPUTED_VALUE"""),"East")</f>
        <v>East</v>
      </c>
      <c r="F1057" s="26">
        <f>IFERROR(__xludf.DUMMYFUNCTION("""COMPUTED_VALUE"""),20.736)</f>
        <v>20.736</v>
      </c>
      <c r="G1057" s="26">
        <f>IFERROR(__xludf.DUMMYFUNCTION("""COMPUTED_VALUE"""),4.0)</f>
        <v>4</v>
      </c>
      <c r="H1057" s="26">
        <f>IFERROR(__xludf.DUMMYFUNCTION("""COMPUTED_VALUE"""),7.2576)</f>
        <v>7.2576</v>
      </c>
    </row>
    <row r="1058">
      <c r="A1058" s="26" t="str">
        <f>IFERROR(__xludf.DUMMYFUNCTION("""COMPUTED_VALUE"""),"CA-2015-109001")</f>
        <v>CA-2015-109001</v>
      </c>
      <c r="B1058" s="27">
        <f>IFERROR(__xludf.DUMMYFUNCTION("""COMPUTED_VALUE"""),42068.0)</f>
        <v>42068</v>
      </c>
      <c r="C1058" s="26" t="str">
        <f>IFERROR(__xludf.DUMMYFUNCTION("""COMPUTED_VALUE"""),"Katherine Nockton")</f>
        <v>Katherine Nockton</v>
      </c>
      <c r="D1058" s="26" t="str">
        <f>IFERROR(__xludf.DUMMYFUNCTION("""COMPUTED_VALUE"""),"Corporate")</f>
        <v>Corporate</v>
      </c>
      <c r="E1058" s="26" t="str">
        <f>IFERROR(__xludf.DUMMYFUNCTION("""COMPUTED_VALUE"""),"East")</f>
        <v>East</v>
      </c>
      <c r="F1058" s="26">
        <f>IFERROR(__xludf.DUMMYFUNCTION("""COMPUTED_VALUE"""),466.158)</f>
        <v>466.158</v>
      </c>
      <c r="G1058" s="26">
        <f>IFERROR(__xludf.DUMMYFUNCTION("""COMPUTED_VALUE"""),7.0)</f>
        <v>7</v>
      </c>
      <c r="H1058" s="26">
        <f>IFERROR(__xludf.DUMMYFUNCTION("""COMPUTED_VALUE"""),-93.2316)</f>
        <v>-93.2316</v>
      </c>
    </row>
    <row r="1059">
      <c r="A1059" s="26" t="str">
        <f>IFERROR(__xludf.DUMMYFUNCTION("""COMPUTED_VALUE"""),"CA-2015-119102")</f>
        <v>CA-2015-119102</v>
      </c>
      <c r="B1059" s="27">
        <f>IFERROR(__xludf.DUMMYFUNCTION("""COMPUTED_VALUE"""),42147.0)</f>
        <v>42147</v>
      </c>
      <c r="C1059" s="26" t="str">
        <f>IFERROR(__xludf.DUMMYFUNCTION("""COMPUTED_VALUE"""),"Kristen Hastings")</f>
        <v>Kristen Hastings</v>
      </c>
      <c r="D1059" s="26" t="str">
        <f>IFERROR(__xludf.DUMMYFUNCTION("""COMPUTED_VALUE"""),"Corporate")</f>
        <v>Corporate</v>
      </c>
      <c r="E1059" s="26" t="str">
        <f>IFERROR(__xludf.DUMMYFUNCTION("""COMPUTED_VALUE"""),"East")</f>
        <v>East</v>
      </c>
      <c r="F1059" s="26">
        <f>IFERROR(__xludf.DUMMYFUNCTION("""COMPUTED_VALUE"""),51.45)</f>
        <v>51.45</v>
      </c>
      <c r="G1059" s="26">
        <f>IFERROR(__xludf.DUMMYFUNCTION("""COMPUTED_VALUE"""),3.0)</f>
        <v>3</v>
      </c>
      <c r="H1059" s="26">
        <f>IFERROR(__xludf.DUMMYFUNCTION("""COMPUTED_VALUE"""),13.8915)</f>
        <v>13.8915</v>
      </c>
    </row>
    <row r="1060">
      <c r="A1060" s="26" t="str">
        <f>IFERROR(__xludf.DUMMYFUNCTION("""COMPUTED_VALUE"""),"CA-2015-167374")</f>
        <v>CA-2015-167374</v>
      </c>
      <c r="B1060" s="27">
        <f>IFERROR(__xludf.DUMMYFUNCTION("""COMPUTED_VALUE"""),42089.0)</f>
        <v>42089</v>
      </c>
      <c r="C1060" s="26" t="str">
        <f>IFERROR(__xludf.DUMMYFUNCTION("""COMPUTED_VALUE"""),"Gene McClure")</f>
        <v>Gene McClure</v>
      </c>
      <c r="D1060" s="26" t="str">
        <f>IFERROR(__xludf.DUMMYFUNCTION("""COMPUTED_VALUE"""),"Consumer")</f>
        <v>Consumer</v>
      </c>
      <c r="E1060" s="26" t="str">
        <f>IFERROR(__xludf.DUMMYFUNCTION("""COMPUTED_VALUE"""),"East")</f>
        <v>East</v>
      </c>
      <c r="F1060" s="26">
        <f>IFERROR(__xludf.DUMMYFUNCTION("""COMPUTED_VALUE"""),40.032)</f>
        <v>40.032</v>
      </c>
      <c r="G1060" s="26">
        <f>IFERROR(__xludf.DUMMYFUNCTION("""COMPUTED_VALUE"""),6.0)</f>
        <v>6</v>
      </c>
      <c r="H1060" s="26">
        <f>IFERROR(__xludf.DUMMYFUNCTION("""COMPUTED_VALUE"""),12.51)</f>
        <v>12.51</v>
      </c>
    </row>
    <row r="1061">
      <c r="A1061" s="26" t="str">
        <f>IFERROR(__xludf.DUMMYFUNCTION("""COMPUTED_VALUE"""),"CA-2015-127173")</f>
        <v>CA-2015-127173</v>
      </c>
      <c r="B1061" s="27">
        <f>IFERROR(__xludf.DUMMYFUNCTION("""COMPUTED_VALUE"""),42273.0)</f>
        <v>42273</v>
      </c>
      <c r="C1061" s="26" t="str">
        <f>IFERROR(__xludf.DUMMYFUNCTION("""COMPUTED_VALUE"""),"Gene McClure")</f>
        <v>Gene McClure</v>
      </c>
      <c r="D1061" s="26" t="str">
        <f>IFERROR(__xludf.DUMMYFUNCTION("""COMPUTED_VALUE"""),"Consumer")</f>
        <v>Consumer</v>
      </c>
      <c r="E1061" s="26" t="str">
        <f>IFERROR(__xludf.DUMMYFUNCTION("""COMPUTED_VALUE"""),"East")</f>
        <v>East</v>
      </c>
      <c r="F1061" s="26">
        <f>IFERROR(__xludf.DUMMYFUNCTION("""COMPUTED_VALUE"""),34.44)</f>
        <v>34.44</v>
      </c>
      <c r="G1061" s="26">
        <f>IFERROR(__xludf.DUMMYFUNCTION("""COMPUTED_VALUE"""),3.0)</f>
        <v>3</v>
      </c>
      <c r="H1061" s="26">
        <f>IFERROR(__xludf.DUMMYFUNCTION("""COMPUTED_VALUE"""),16.1868)</f>
        <v>16.1868</v>
      </c>
    </row>
    <row r="1062">
      <c r="A1062" s="26" t="str">
        <f>IFERROR(__xludf.DUMMYFUNCTION("""COMPUTED_VALUE"""),"US-2015-154389")</f>
        <v>US-2015-154389</v>
      </c>
      <c r="B1062" s="27">
        <f>IFERROR(__xludf.DUMMYFUNCTION("""COMPUTED_VALUE"""),42335.0)</f>
        <v>42335</v>
      </c>
      <c r="C1062" s="26" t="str">
        <f>IFERROR(__xludf.DUMMYFUNCTION("""COMPUTED_VALUE"""),"Eugene Hildebrand")</f>
        <v>Eugene Hildebrand</v>
      </c>
      <c r="D1062" s="26" t="str">
        <f>IFERROR(__xludf.DUMMYFUNCTION("""COMPUTED_VALUE"""),"Home Office")</f>
        <v>Home Office</v>
      </c>
      <c r="E1062" s="26" t="str">
        <f>IFERROR(__xludf.DUMMYFUNCTION("""COMPUTED_VALUE"""),"East")</f>
        <v>East</v>
      </c>
      <c r="F1062" s="26">
        <f>IFERROR(__xludf.DUMMYFUNCTION("""COMPUTED_VALUE"""),748.752)</f>
        <v>748.752</v>
      </c>
      <c r="G1062" s="26">
        <f>IFERROR(__xludf.DUMMYFUNCTION("""COMPUTED_VALUE"""),8.0)</f>
        <v>8</v>
      </c>
      <c r="H1062" s="26">
        <f>IFERROR(__xludf.DUMMYFUNCTION("""COMPUTED_VALUE"""),-162.2296)</f>
        <v>-162.2296</v>
      </c>
    </row>
    <row r="1063">
      <c r="A1063" s="26" t="str">
        <f>IFERROR(__xludf.DUMMYFUNCTION("""COMPUTED_VALUE"""),"CA-2015-102015")</f>
        <v>CA-2015-102015</v>
      </c>
      <c r="B1063" s="27">
        <f>IFERROR(__xludf.DUMMYFUNCTION("""COMPUTED_VALUE"""),42259.0)</f>
        <v>42259</v>
      </c>
      <c r="C1063" s="26" t="str">
        <f>IFERROR(__xludf.DUMMYFUNCTION("""COMPUTED_VALUE"""),"Tamara Manning")</f>
        <v>Tamara Manning</v>
      </c>
      <c r="D1063" s="26" t="str">
        <f>IFERROR(__xludf.DUMMYFUNCTION("""COMPUTED_VALUE"""),"Consumer")</f>
        <v>Consumer</v>
      </c>
      <c r="E1063" s="26" t="str">
        <f>IFERROR(__xludf.DUMMYFUNCTION("""COMPUTED_VALUE"""),"East")</f>
        <v>East</v>
      </c>
      <c r="F1063" s="26">
        <f>IFERROR(__xludf.DUMMYFUNCTION("""COMPUTED_VALUE"""),9.26)</f>
        <v>9.26</v>
      </c>
      <c r="G1063" s="26">
        <f>IFERROR(__xludf.DUMMYFUNCTION("""COMPUTED_VALUE"""),2.0)</f>
        <v>2</v>
      </c>
      <c r="H1063" s="26">
        <f>IFERROR(__xludf.DUMMYFUNCTION("""COMPUTED_VALUE"""),3.0558)</f>
        <v>3.0558</v>
      </c>
    </row>
    <row r="1064">
      <c r="A1064" s="26" t="str">
        <f>IFERROR(__xludf.DUMMYFUNCTION("""COMPUTED_VALUE"""),"CA-2015-156755")</f>
        <v>CA-2015-156755</v>
      </c>
      <c r="B1064" s="27">
        <f>IFERROR(__xludf.DUMMYFUNCTION("""COMPUTED_VALUE"""),42016.0)</f>
        <v>42016</v>
      </c>
      <c r="C1064" s="26" t="str">
        <f>IFERROR(__xludf.DUMMYFUNCTION("""COMPUTED_VALUE"""),"Yana Sorensen")</f>
        <v>Yana Sorensen</v>
      </c>
      <c r="D1064" s="26" t="str">
        <f>IFERROR(__xludf.DUMMYFUNCTION("""COMPUTED_VALUE"""),"Corporate")</f>
        <v>Corporate</v>
      </c>
      <c r="E1064" s="26" t="str">
        <f>IFERROR(__xludf.DUMMYFUNCTION("""COMPUTED_VALUE"""),"East")</f>
        <v>East</v>
      </c>
      <c r="F1064" s="26">
        <f>IFERROR(__xludf.DUMMYFUNCTION("""COMPUTED_VALUE"""),465.18)</f>
        <v>465.18</v>
      </c>
      <c r="G1064" s="26">
        <f>IFERROR(__xludf.DUMMYFUNCTION("""COMPUTED_VALUE"""),3.0)</f>
        <v>3</v>
      </c>
      <c r="H1064" s="26">
        <f>IFERROR(__xludf.DUMMYFUNCTION("""COMPUTED_VALUE"""),120.9468)</f>
        <v>120.9468</v>
      </c>
    </row>
    <row r="1065">
      <c r="A1065" s="26" t="str">
        <f>IFERROR(__xludf.DUMMYFUNCTION("""COMPUTED_VALUE"""),"CA-2015-130876")</f>
        <v>CA-2015-130876</v>
      </c>
      <c r="B1065" s="27">
        <f>IFERROR(__xludf.DUMMYFUNCTION("""COMPUTED_VALUE"""),42136.0)</f>
        <v>42136</v>
      </c>
      <c r="C1065" s="26" t="str">
        <f>IFERROR(__xludf.DUMMYFUNCTION("""COMPUTED_VALUE"""),"Annie Zypern")</f>
        <v>Annie Zypern</v>
      </c>
      <c r="D1065" s="26" t="str">
        <f>IFERROR(__xludf.DUMMYFUNCTION("""COMPUTED_VALUE"""),"Consumer")</f>
        <v>Consumer</v>
      </c>
      <c r="E1065" s="26" t="str">
        <f>IFERROR(__xludf.DUMMYFUNCTION("""COMPUTED_VALUE"""),"East")</f>
        <v>East</v>
      </c>
      <c r="F1065" s="26">
        <f>IFERROR(__xludf.DUMMYFUNCTION("""COMPUTED_VALUE"""),36.63)</f>
        <v>36.63</v>
      </c>
      <c r="G1065" s="26">
        <f>IFERROR(__xludf.DUMMYFUNCTION("""COMPUTED_VALUE"""),3.0)</f>
        <v>3</v>
      </c>
      <c r="H1065" s="26">
        <f>IFERROR(__xludf.DUMMYFUNCTION("""COMPUTED_VALUE"""),9.8901)</f>
        <v>9.8901</v>
      </c>
    </row>
    <row r="1066">
      <c r="A1066" s="26" t="str">
        <f>IFERROR(__xludf.DUMMYFUNCTION("""COMPUTED_VALUE"""),"CA-2015-106215")</f>
        <v>CA-2015-106215</v>
      </c>
      <c r="B1066" s="27">
        <f>IFERROR(__xludf.DUMMYFUNCTION("""COMPUTED_VALUE"""),42110.0)</f>
        <v>42110</v>
      </c>
      <c r="C1066" s="26" t="str">
        <f>IFERROR(__xludf.DUMMYFUNCTION("""COMPUTED_VALUE"""),"Brad Norvell")</f>
        <v>Brad Norvell</v>
      </c>
      <c r="D1066" s="26" t="str">
        <f>IFERROR(__xludf.DUMMYFUNCTION("""COMPUTED_VALUE"""),"Corporate")</f>
        <v>Corporate</v>
      </c>
      <c r="E1066" s="26" t="str">
        <f>IFERROR(__xludf.DUMMYFUNCTION("""COMPUTED_VALUE"""),"East")</f>
        <v>East</v>
      </c>
      <c r="F1066" s="26">
        <f>IFERROR(__xludf.DUMMYFUNCTION("""COMPUTED_VALUE"""),12.576)</f>
        <v>12.576</v>
      </c>
      <c r="G1066" s="26">
        <f>IFERROR(__xludf.DUMMYFUNCTION("""COMPUTED_VALUE"""),4.0)</f>
        <v>4</v>
      </c>
      <c r="H1066" s="26">
        <f>IFERROR(__xludf.DUMMYFUNCTION("""COMPUTED_VALUE"""),4.0872)</f>
        <v>4.0872</v>
      </c>
    </row>
    <row r="1067">
      <c r="A1067" s="26" t="str">
        <f>IFERROR(__xludf.DUMMYFUNCTION("""COMPUTED_VALUE"""),"CA-2015-125185")</f>
        <v>CA-2015-125185</v>
      </c>
      <c r="B1067" s="27">
        <f>IFERROR(__xludf.DUMMYFUNCTION("""COMPUTED_VALUE"""),42068.0)</f>
        <v>42068</v>
      </c>
      <c r="C1067" s="26" t="str">
        <f>IFERROR(__xludf.DUMMYFUNCTION("""COMPUTED_VALUE"""),"Alan Haines")</f>
        <v>Alan Haines</v>
      </c>
      <c r="D1067" s="26" t="str">
        <f>IFERROR(__xludf.DUMMYFUNCTION("""COMPUTED_VALUE"""),"Corporate")</f>
        <v>Corporate</v>
      </c>
      <c r="E1067" s="26" t="str">
        <f>IFERROR(__xludf.DUMMYFUNCTION("""COMPUTED_VALUE"""),"East")</f>
        <v>East</v>
      </c>
      <c r="F1067" s="26">
        <f>IFERROR(__xludf.DUMMYFUNCTION("""COMPUTED_VALUE"""),99.372)</f>
        <v>99.372</v>
      </c>
      <c r="G1067" s="26">
        <f>IFERROR(__xludf.DUMMYFUNCTION("""COMPUTED_VALUE"""),2.0)</f>
        <v>2</v>
      </c>
      <c r="H1067" s="26">
        <f>IFERROR(__xludf.DUMMYFUNCTION("""COMPUTED_VALUE"""),-7.098)</f>
        <v>-7.098</v>
      </c>
    </row>
    <row r="1068">
      <c r="A1068" s="26" t="str">
        <f>IFERROR(__xludf.DUMMYFUNCTION("""COMPUTED_VALUE"""),"CA-2015-162887")</f>
        <v>CA-2015-162887</v>
      </c>
      <c r="B1068" s="27">
        <f>IFERROR(__xludf.DUMMYFUNCTION("""COMPUTED_VALUE"""),42315.0)</f>
        <v>42315</v>
      </c>
      <c r="C1068" s="26" t="str">
        <f>IFERROR(__xludf.DUMMYFUNCTION("""COMPUTED_VALUE"""),"Stewart Visinsky")</f>
        <v>Stewart Visinsky</v>
      </c>
      <c r="D1068" s="26" t="str">
        <f>IFERROR(__xludf.DUMMYFUNCTION("""COMPUTED_VALUE"""),"Consumer")</f>
        <v>Consumer</v>
      </c>
      <c r="E1068" s="26" t="str">
        <f>IFERROR(__xludf.DUMMYFUNCTION("""COMPUTED_VALUE"""),"East")</f>
        <v>East</v>
      </c>
      <c r="F1068" s="26">
        <f>IFERROR(__xludf.DUMMYFUNCTION("""COMPUTED_VALUE"""),715.2)</f>
        <v>715.2</v>
      </c>
      <c r="G1068" s="26">
        <f>IFERROR(__xludf.DUMMYFUNCTION("""COMPUTED_VALUE"""),3.0)</f>
        <v>3</v>
      </c>
      <c r="H1068" s="26">
        <f>IFERROR(__xludf.DUMMYFUNCTION("""COMPUTED_VALUE"""),178.8)</f>
        <v>178.8</v>
      </c>
    </row>
    <row r="1069">
      <c r="A1069" s="26" t="str">
        <f>IFERROR(__xludf.DUMMYFUNCTION("""COMPUTED_VALUE"""),"CA-2015-111073")</f>
        <v>CA-2015-111073</v>
      </c>
      <c r="B1069" s="27">
        <f>IFERROR(__xludf.DUMMYFUNCTION("""COMPUTED_VALUE"""),42364.0)</f>
        <v>42364</v>
      </c>
      <c r="C1069" s="26" t="str">
        <f>IFERROR(__xludf.DUMMYFUNCTION("""COMPUTED_VALUE"""),"Mick Crebagga")</f>
        <v>Mick Crebagga</v>
      </c>
      <c r="D1069" s="26" t="str">
        <f>IFERROR(__xludf.DUMMYFUNCTION("""COMPUTED_VALUE"""),"Consumer")</f>
        <v>Consumer</v>
      </c>
      <c r="E1069" s="26" t="str">
        <f>IFERROR(__xludf.DUMMYFUNCTION("""COMPUTED_VALUE"""),"East")</f>
        <v>East</v>
      </c>
      <c r="F1069" s="26">
        <f>IFERROR(__xludf.DUMMYFUNCTION("""COMPUTED_VALUE"""),51.588)</f>
        <v>51.588</v>
      </c>
      <c r="G1069" s="26">
        <f>IFERROR(__xludf.DUMMYFUNCTION("""COMPUTED_VALUE"""),1.0)</f>
        <v>1</v>
      </c>
      <c r="H1069" s="26">
        <f>IFERROR(__xludf.DUMMYFUNCTION("""COMPUTED_VALUE"""),-15.4764)</f>
        <v>-15.4764</v>
      </c>
    </row>
    <row r="1070">
      <c r="A1070" s="26" t="str">
        <f>IFERROR(__xludf.DUMMYFUNCTION("""COMPUTED_VALUE"""),"CA-2015-152681")</f>
        <v>CA-2015-152681</v>
      </c>
      <c r="B1070" s="27">
        <f>IFERROR(__xludf.DUMMYFUNCTION("""COMPUTED_VALUE"""),42021.0)</f>
        <v>42021</v>
      </c>
      <c r="C1070" s="26" t="str">
        <f>IFERROR(__xludf.DUMMYFUNCTION("""COMPUTED_VALUE"""),"Scott Cohen")</f>
        <v>Scott Cohen</v>
      </c>
      <c r="D1070" s="26" t="str">
        <f>IFERROR(__xludf.DUMMYFUNCTION("""COMPUTED_VALUE"""),"Corporate")</f>
        <v>Corporate</v>
      </c>
      <c r="E1070" s="26" t="str">
        <f>IFERROR(__xludf.DUMMYFUNCTION("""COMPUTED_VALUE"""),"East")</f>
        <v>East</v>
      </c>
      <c r="F1070" s="26">
        <f>IFERROR(__xludf.DUMMYFUNCTION("""COMPUTED_VALUE"""),6.68)</f>
        <v>6.68</v>
      </c>
      <c r="G1070" s="26">
        <f>IFERROR(__xludf.DUMMYFUNCTION("""COMPUTED_VALUE"""),2.0)</f>
        <v>2</v>
      </c>
      <c r="H1070" s="26">
        <f>IFERROR(__xludf.DUMMYFUNCTION("""COMPUTED_VALUE"""),2.004)</f>
        <v>2.004</v>
      </c>
    </row>
    <row r="1071">
      <c r="A1071" s="26" t="str">
        <f>IFERROR(__xludf.DUMMYFUNCTION("""COMPUTED_VALUE"""),"CA-2015-146486")</f>
        <v>CA-2015-146486</v>
      </c>
      <c r="B1071" s="27">
        <f>IFERROR(__xludf.DUMMYFUNCTION("""COMPUTED_VALUE"""),42317.0)</f>
        <v>42317</v>
      </c>
      <c r="C1071" s="26" t="str">
        <f>IFERROR(__xludf.DUMMYFUNCTION("""COMPUTED_VALUE"""),"Dianna Vittorini")</f>
        <v>Dianna Vittorini</v>
      </c>
      <c r="D1071" s="26" t="str">
        <f>IFERROR(__xludf.DUMMYFUNCTION("""COMPUTED_VALUE"""),"Consumer")</f>
        <v>Consumer</v>
      </c>
      <c r="E1071" s="26" t="str">
        <f>IFERROR(__xludf.DUMMYFUNCTION("""COMPUTED_VALUE"""),"East")</f>
        <v>East</v>
      </c>
      <c r="F1071" s="26">
        <f>IFERROR(__xludf.DUMMYFUNCTION("""COMPUTED_VALUE"""),244.55)</f>
        <v>244.55</v>
      </c>
      <c r="G1071" s="26">
        <f>IFERROR(__xludf.DUMMYFUNCTION("""COMPUTED_VALUE"""),5.0)</f>
        <v>5</v>
      </c>
      <c r="H1071" s="26">
        <f>IFERROR(__xludf.DUMMYFUNCTION("""COMPUTED_VALUE"""),4.891)</f>
        <v>4.891</v>
      </c>
    </row>
    <row r="1072">
      <c r="A1072" s="26" t="str">
        <f>IFERROR(__xludf.DUMMYFUNCTION("""COMPUTED_VALUE"""),"CA-2015-112053")</f>
        <v>CA-2015-112053</v>
      </c>
      <c r="B1072" s="27">
        <f>IFERROR(__xludf.DUMMYFUNCTION("""COMPUTED_VALUE"""),42288.0)</f>
        <v>42288</v>
      </c>
      <c r="C1072" s="26" t="str">
        <f>IFERROR(__xludf.DUMMYFUNCTION("""COMPUTED_VALUE"""),"Shahid Hopkins")</f>
        <v>Shahid Hopkins</v>
      </c>
      <c r="D1072" s="26" t="str">
        <f>IFERROR(__xludf.DUMMYFUNCTION("""COMPUTED_VALUE"""),"Consumer")</f>
        <v>Consumer</v>
      </c>
      <c r="E1072" s="26" t="str">
        <f>IFERROR(__xludf.DUMMYFUNCTION("""COMPUTED_VALUE"""),"East")</f>
        <v>East</v>
      </c>
      <c r="F1072" s="26">
        <f>IFERROR(__xludf.DUMMYFUNCTION("""COMPUTED_VALUE"""),31.95)</f>
        <v>31.95</v>
      </c>
      <c r="G1072" s="26">
        <f>IFERROR(__xludf.DUMMYFUNCTION("""COMPUTED_VALUE"""),1.0)</f>
        <v>1</v>
      </c>
      <c r="H1072" s="26">
        <f>IFERROR(__xludf.DUMMYFUNCTION("""COMPUTED_VALUE"""),2.2365)</f>
        <v>2.2365</v>
      </c>
    </row>
    <row r="1073">
      <c r="A1073" s="26" t="str">
        <f>IFERROR(__xludf.DUMMYFUNCTION("""COMPUTED_VALUE"""),"CA-2015-148712")</f>
        <v>CA-2015-148712</v>
      </c>
      <c r="B1073" s="27">
        <f>IFERROR(__xludf.DUMMYFUNCTION("""COMPUTED_VALUE"""),42111.0)</f>
        <v>42111</v>
      </c>
      <c r="C1073" s="26" t="str">
        <f>IFERROR(__xludf.DUMMYFUNCTION("""COMPUTED_VALUE"""),"Jessica Myrick")</f>
        <v>Jessica Myrick</v>
      </c>
      <c r="D1073" s="26" t="str">
        <f>IFERROR(__xludf.DUMMYFUNCTION("""COMPUTED_VALUE"""),"Consumer")</f>
        <v>Consumer</v>
      </c>
      <c r="E1073" s="26" t="str">
        <f>IFERROR(__xludf.DUMMYFUNCTION("""COMPUTED_VALUE"""),"East")</f>
        <v>East</v>
      </c>
      <c r="F1073" s="26">
        <f>IFERROR(__xludf.DUMMYFUNCTION("""COMPUTED_VALUE"""),99.6)</f>
        <v>99.6</v>
      </c>
      <c r="G1073" s="26">
        <f>IFERROR(__xludf.DUMMYFUNCTION("""COMPUTED_VALUE"""),1.0)</f>
        <v>1</v>
      </c>
      <c r="H1073" s="26">
        <f>IFERROR(__xludf.DUMMYFUNCTION("""COMPUTED_VALUE"""),36.852)</f>
        <v>36.852</v>
      </c>
    </row>
    <row r="1074">
      <c r="A1074" s="26" t="str">
        <f>IFERROR(__xludf.DUMMYFUNCTION("""COMPUTED_VALUE"""),"CA-2015-113523")</f>
        <v>CA-2015-113523</v>
      </c>
      <c r="B1074" s="27">
        <f>IFERROR(__xludf.DUMMYFUNCTION("""COMPUTED_VALUE"""),42251.0)</f>
        <v>42251</v>
      </c>
      <c r="C1074" s="26" t="str">
        <f>IFERROR(__xludf.DUMMYFUNCTION("""COMPUTED_VALUE"""),"Shaun Chance")</f>
        <v>Shaun Chance</v>
      </c>
      <c r="D1074" s="26" t="str">
        <f>IFERROR(__xludf.DUMMYFUNCTION("""COMPUTED_VALUE"""),"Corporate")</f>
        <v>Corporate</v>
      </c>
      <c r="E1074" s="26" t="str">
        <f>IFERROR(__xludf.DUMMYFUNCTION("""COMPUTED_VALUE"""),"East")</f>
        <v>East</v>
      </c>
      <c r="F1074" s="26">
        <f>IFERROR(__xludf.DUMMYFUNCTION("""COMPUTED_VALUE"""),7.656)</f>
        <v>7.656</v>
      </c>
      <c r="G1074" s="26">
        <f>IFERROR(__xludf.DUMMYFUNCTION("""COMPUTED_VALUE"""),4.0)</f>
        <v>4</v>
      </c>
      <c r="H1074" s="26">
        <f>IFERROR(__xludf.DUMMYFUNCTION("""COMPUTED_VALUE"""),-6.1248)</f>
        <v>-6.1248</v>
      </c>
    </row>
    <row r="1075">
      <c r="A1075" s="26" t="str">
        <f>IFERROR(__xludf.DUMMYFUNCTION("""COMPUTED_VALUE"""),"CA-2015-103177")</f>
        <v>CA-2015-103177</v>
      </c>
      <c r="B1075" s="27">
        <f>IFERROR(__xludf.DUMMYFUNCTION("""COMPUTED_VALUE"""),42154.0)</f>
        <v>42154</v>
      </c>
      <c r="C1075" s="26" t="str">
        <f>IFERROR(__xludf.DUMMYFUNCTION("""COMPUTED_VALUE"""),"Edward Nazzal")</f>
        <v>Edward Nazzal</v>
      </c>
      <c r="D1075" s="26" t="str">
        <f>IFERROR(__xludf.DUMMYFUNCTION("""COMPUTED_VALUE"""),"Consumer")</f>
        <v>Consumer</v>
      </c>
      <c r="E1075" s="26" t="str">
        <f>IFERROR(__xludf.DUMMYFUNCTION("""COMPUTED_VALUE"""),"East")</f>
        <v>East</v>
      </c>
      <c r="F1075" s="26">
        <f>IFERROR(__xludf.DUMMYFUNCTION("""COMPUTED_VALUE"""),239.97)</f>
        <v>239.97</v>
      </c>
      <c r="G1075" s="26">
        <f>IFERROR(__xludf.DUMMYFUNCTION("""COMPUTED_VALUE"""),3.0)</f>
        <v>3</v>
      </c>
      <c r="H1075" s="26">
        <f>IFERROR(__xludf.DUMMYFUNCTION("""COMPUTED_VALUE"""),2.3997)</f>
        <v>2.3997</v>
      </c>
    </row>
    <row r="1076">
      <c r="A1076" s="26" t="str">
        <f>IFERROR(__xludf.DUMMYFUNCTION("""COMPUTED_VALUE"""),"CA-2015-142055")</f>
        <v>CA-2015-142055</v>
      </c>
      <c r="B1076" s="27">
        <f>IFERROR(__xludf.DUMMYFUNCTION("""COMPUTED_VALUE"""),42132.0)</f>
        <v>42132</v>
      </c>
      <c r="C1076" s="26" t="str">
        <f>IFERROR(__xludf.DUMMYFUNCTION("""COMPUTED_VALUE"""),"Alejandro Ballentine")</f>
        <v>Alejandro Ballentine</v>
      </c>
      <c r="D1076" s="26" t="str">
        <f>IFERROR(__xludf.DUMMYFUNCTION("""COMPUTED_VALUE"""),"Home Office")</f>
        <v>Home Office</v>
      </c>
      <c r="E1076" s="26" t="str">
        <f>IFERROR(__xludf.DUMMYFUNCTION("""COMPUTED_VALUE"""),"East")</f>
        <v>East</v>
      </c>
      <c r="F1076" s="26">
        <f>IFERROR(__xludf.DUMMYFUNCTION("""COMPUTED_VALUE"""),37.94)</f>
        <v>37.94</v>
      </c>
      <c r="G1076" s="26">
        <f>IFERROR(__xludf.DUMMYFUNCTION("""COMPUTED_VALUE"""),2.0)</f>
        <v>2</v>
      </c>
      <c r="H1076" s="26">
        <f>IFERROR(__xludf.DUMMYFUNCTION("""COMPUTED_VALUE"""),18.2112)</f>
        <v>18.2112</v>
      </c>
    </row>
    <row r="1077">
      <c r="A1077" s="26" t="str">
        <f>IFERROR(__xludf.DUMMYFUNCTION("""COMPUTED_VALUE"""),"CA-2015-159779")</f>
        <v>CA-2015-159779</v>
      </c>
      <c r="B1077" s="27">
        <f>IFERROR(__xludf.DUMMYFUNCTION("""COMPUTED_VALUE"""),42272.0)</f>
        <v>42272</v>
      </c>
      <c r="C1077" s="26" t="str">
        <f>IFERROR(__xludf.DUMMYFUNCTION("""COMPUTED_VALUE"""),"Sarah Brown")</f>
        <v>Sarah Brown</v>
      </c>
      <c r="D1077" s="26" t="str">
        <f>IFERROR(__xludf.DUMMYFUNCTION("""COMPUTED_VALUE"""),"Consumer")</f>
        <v>Consumer</v>
      </c>
      <c r="E1077" s="26" t="str">
        <f>IFERROR(__xludf.DUMMYFUNCTION("""COMPUTED_VALUE"""),"East")</f>
        <v>East</v>
      </c>
      <c r="F1077" s="26">
        <f>IFERROR(__xludf.DUMMYFUNCTION("""COMPUTED_VALUE"""),68.62)</f>
        <v>68.62</v>
      </c>
      <c r="G1077" s="26">
        <f>IFERROR(__xludf.DUMMYFUNCTION("""COMPUTED_VALUE"""),2.0)</f>
        <v>2</v>
      </c>
      <c r="H1077" s="26">
        <f>IFERROR(__xludf.DUMMYFUNCTION("""COMPUTED_VALUE"""),32.2514)</f>
        <v>32.2514</v>
      </c>
    </row>
    <row r="1078">
      <c r="A1078" s="26" t="str">
        <f>IFERROR(__xludf.DUMMYFUNCTION("""COMPUTED_VALUE"""),"CA-2015-142475")</f>
        <v>CA-2015-142475</v>
      </c>
      <c r="B1078" s="27">
        <f>IFERROR(__xludf.DUMMYFUNCTION("""COMPUTED_VALUE"""),42341.0)</f>
        <v>42341</v>
      </c>
      <c r="C1078" s="26" t="str">
        <f>IFERROR(__xludf.DUMMYFUNCTION("""COMPUTED_VALUE"""),"Bill Stewart")</f>
        <v>Bill Stewart</v>
      </c>
      <c r="D1078" s="26" t="str">
        <f>IFERROR(__xludf.DUMMYFUNCTION("""COMPUTED_VALUE"""),"Corporate")</f>
        <v>Corporate</v>
      </c>
      <c r="E1078" s="26" t="str">
        <f>IFERROR(__xludf.DUMMYFUNCTION("""COMPUTED_VALUE"""),"East")</f>
        <v>East</v>
      </c>
      <c r="F1078" s="26">
        <f>IFERROR(__xludf.DUMMYFUNCTION("""COMPUTED_VALUE"""),590.352)</f>
        <v>590.352</v>
      </c>
      <c r="G1078" s="26">
        <f>IFERROR(__xludf.DUMMYFUNCTION("""COMPUTED_VALUE"""),6.0)</f>
        <v>6</v>
      </c>
      <c r="H1078" s="26">
        <f>IFERROR(__xludf.DUMMYFUNCTION("""COMPUTED_VALUE"""),206.6232)</f>
        <v>206.6232</v>
      </c>
    </row>
    <row r="1079">
      <c r="A1079" s="26" t="str">
        <f>IFERROR(__xludf.DUMMYFUNCTION("""COMPUTED_VALUE"""),"CA-2015-145828")</f>
        <v>CA-2015-145828</v>
      </c>
      <c r="B1079" s="27">
        <f>IFERROR(__xludf.DUMMYFUNCTION("""COMPUTED_VALUE"""),42282.0)</f>
        <v>42282</v>
      </c>
      <c r="C1079" s="26" t="str">
        <f>IFERROR(__xludf.DUMMYFUNCTION("""COMPUTED_VALUE"""),"Maria Bertelson")</f>
        <v>Maria Bertelson</v>
      </c>
      <c r="D1079" s="26" t="str">
        <f>IFERROR(__xludf.DUMMYFUNCTION("""COMPUTED_VALUE"""),"Consumer")</f>
        <v>Consumer</v>
      </c>
      <c r="E1079" s="26" t="str">
        <f>IFERROR(__xludf.DUMMYFUNCTION("""COMPUTED_VALUE"""),"East")</f>
        <v>East</v>
      </c>
      <c r="F1079" s="26">
        <f>IFERROR(__xludf.DUMMYFUNCTION("""COMPUTED_VALUE"""),53.04)</f>
        <v>53.04</v>
      </c>
      <c r="G1079" s="26">
        <f>IFERROR(__xludf.DUMMYFUNCTION("""COMPUTED_VALUE"""),3.0)</f>
        <v>3</v>
      </c>
      <c r="H1079" s="26">
        <f>IFERROR(__xludf.DUMMYFUNCTION("""COMPUTED_VALUE"""),-4.641)</f>
        <v>-4.641</v>
      </c>
    </row>
    <row r="1080">
      <c r="A1080" s="26" t="str">
        <f>IFERROR(__xludf.DUMMYFUNCTION("""COMPUTED_VALUE"""),"US-2015-138093")</f>
        <v>US-2015-138093</v>
      </c>
      <c r="B1080" s="27">
        <f>IFERROR(__xludf.DUMMYFUNCTION("""COMPUTED_VALUE"""),42348.0)</f>
        <v>42348</v>
      </c>
      <c r="C1080" s="26" t="str">
        <f>IFERROR(__xludf.DUMMYFUNCTION("""COMPUTED_VALUE"""),"Kalyca Meade")</f>
        <v>Kalyca Meade</v>
      </c>
      <c r="D1080" s="26" t="str">
        <f>IFERROR(__xludf.DUMMYFUNCTION("""COMPUTED_VALUE"""),"Corporate")</f>
        <v>Corporate</v>
      </c>
      <c r="E1080" s="26" t="str">
        <f>IFERROR(__xludf.DUMMYFUNCTION("""COMPUTED_VALUE"""),"East")</f>
        <v>East</v>
      </c>
      <c r="F1080" s="26">
        <f>IFERROR(__xludf.DUMMYFUNCTION("""COMPUTED_VALUE"""),27.36)</f>
        <v>27.36</v>
      </c>
      <c r="G1080" s="26">
        <f>IFERROR(__xludf.DUMMYFUNCTION("""COMPUTED_VALUE"""),9.0)</f>
        <v>9</v>
      </c>
      <c r="H1080" s="26">
        <f>IFERROR(__xludf.DUMMYFUNCTION("""COMPUTED_VALUE"""),9.3024)</f>
        <v>9.3024</v>
      </c>
    </row>
    <row r="1081">
      <c r="A1081" s="26" t="str">
        <f>IFERROR(__xludf.DUMMYFUNCTION("""COMPUTED_VALUE"""),"US-2015-160857")</f>
        <v>US-2015-160857</v>
      </c>
      <c r="B1081" s="27">
        <f>IFERROR(__xludf.DUMMYFUNCTION("""COMPUTED_VALUE"""),42132.0)</f>
        <v>42132</v>
      </c>
      <c r="C1081" s="26" t="str">
        <f>IFERROR(__xludf.DUMMYFUNCTION("""COMPUTED_VALUE"""),"Natalie Webber")</f>
        <v>Natalie Webber</v>
      </c>
      <c r="D1081" s="26" t="str">
        <f>IFERROR(__xludf.DUMMYFUNCTION("""COMPUTED_VALUE"""),"Consumer")</f>
        <v>Consumer</v>
      </c>
      <c r="E1081" s="26" t="str">
        <f>IFERROR(__xludf.DUMMYFUNCTION("""COMPUTED_VALUE"""),"East")</f>
        <v>East</v>
      </c>
      <c r="F1081" s="26">
        <f>IFERROR(__xludf.DUMMYFUNCTION("""COMPUTED_VALUE"""),79.44)</f>
        <v>79.44</v>
      </c>
      <c r="G1081" s="26">
        <f>IFERROR(__xludf.DUMMYFUNCTION("""COMPUTED_VALUE"""),3.0)</f>
        <v>3</v>
      </c>
      <c r="H1081" s="26">
        <f>IFERROR(__xludf.DUMMYFUNCTION("""COMPUTED_VALUE"""),30.1872)</f>
        <v>30.1872</v>
      </c>
    </row>
    <row r="1082">
      <c r="A1082" s="26" t="str">
        <f>IFERROR(__xludf.DUMMYFUNCTION("""COMPUTED_VALUE"""),"CA-2015-103933")</f>
        <v>CA-2015-103933</v>
      </c>
      <c r="B1082" s="27">
        <f>IFERROR(__xludf.DUMMYFUNCTION("""COMPUTED_VALUE"""),42272.0)</f>
        <v>42272</v>
      </c>
      <c r="C1082" s="26" t="str">
        <f>IFERROR(__xludf.DUMMYFUNCTION("""COMPUTED_VALUE"""),"Dan Reichenbach")</f>
        <v>Dan Reichenbach</v>
      </c>
      <c r="D1082" s="26" t="str">
        <f>IFERROR(__xludf.DUMMYFUNCTION("""COMPUTED_VALUE"""),"Corporate")</f>
        <v>Corporate</v>
      </c>
      <c r="E1082" s="26" t="str">
        <f>IFERROR(__xludf.DUMMYFUNCTION("""COMPUTED_VALUE"""),"East")</f>
        <v>East</v>
      </c>
      <c r="F1082" s="26">
        <f>IFERROR(__xludf.DUMMYFUNCTION("""COMPUTED_VALUE"""),899.91)</f>
        <v>899.91</v>
      </c>
      <c r="G1082" s="26">
        <f>IFERROR(__xludf.DUMMYFUNCTION("""COMPUTED_VALUE"""),9.0)</f>
        <v>9</v>
      </c>
      <c r="H1082" s="26">
        <f>IFERROR(__xludf.DUMMYFUNCTION("""COMPUTED_VALUE"""),395.9604)</f>
        <v>395.9604</v>
      </c>
    </row>
    <row r="1083">
      <c r="A1083" s="26" t="str">
        <f>IFERROR(__xludf.DUMMYFUNCTION("""COMPUTED_VALUE"""),"CA-2015-162047")</f>
        <v>CA-2015-162047</v>
      </c>
      <c r="B1083" s="27">
        <f>IFERROR(__xludf.DUMMYFUNCTION("""COMPUTED_VALUE"""),42311.0)</f>
        <v>42311</v>
      </c>
      <c r="C1083" s="26" t="str">
        <f>IFERROR(__xludf.DUMMYFUNCTION("""COMPUTED_VALUE"""),"Fred Hopkins")</f>
        <v>Fred Hopkins</v>
      </c>
      <c r="D1083" s="26" t="str">
        <f>IFERROR(__xludf.DUMMYFUNCTION("""COMPUTED_VALUE"""),"Corporate")</f>
        <v>Corporate</v>
      </c>
      <c r="E1083" s="26" t="str">
        <f>IFERROR(__xludf.DUMMYFUNCTION("""COMPUTED_VALUE"""),"East")</f>
        <v>East</v>
      </c>
      <c r="F1083" s="26">
        <f>IFERROR(__xludf.DUMMYFUNCTION("""COMPUTED_VALUE"""),1448.82)</f>
        <v>1448.82</v>
      </c>
      <c r="G1083" s="26">
        <f>IFERROR(__xludf.DUMMYFUNCTION("""COMPUTED_VALUE"""),10.0)</f>
        <v>10</v>
      </c>
      <c r="H1083" s="26">
        <f>IFERROR(__xludf.DUMMYFUNCTION("""COMPUTED_VALUE"""),209.274)</f>
        <v>209.274</v>
      </c>
    </row>
    <row r="1084">
      <c r="A1084" s="26" t="str">
        <f>IFERROR(__xludf.DUMMYFUNCTION("""COMPUTED_VALUE"""),"CA-2015-154900")</f>
        <v>CA-2015-154900</v>
      </c>
      <c r="B1084" s="27">
        <f>IFERROR(__xludf.DUMMYFUNCTION("""COMPUTED_VALUE"""),42060.0)</f>
        <v>42060</v>
      </c>
      <c r="C1084" s="26" t="str">
        <f>IFERROR(__xludf.DUMMYFUNCTION("""COMPUTED_VALUE"""),"Sung Shariari")</f>
        <v>Sung Shariari</v>
      </c>
      <c r="D1084" s="26" t="str">
        <f>IFERROR(__xludf.DUMMYFUNCTION("""COMPUTED_VALUE"""),"Consumer")</f>
        <v>Consumer</v>
      </c>
      <c r="E1084" s="26" t="str">
        <f>IFERROR(__xludf.DUMMYFUNCTION("""COMPUTED_VALUE"""),"East")</f>
        <v>East</v>
      </c>
      <c r="F1084" s="26">
        <f>IFERROR(__xludf.DUMMYFUNCTION("""COMPUTED_VALUE"""),3.15)</f>
        <v>3.15</v>
      </c>
      <c r="G1084" s="26">
        <f>IFERROR(__xludf.DUMMYFUNCTION("""COMPUTED_VALUE"""),1.0)</f>
        <v>1</v>
      </c>
      <c r="H1084" s="26">
        <f>IFERROR(__xludf.DUMMYFUNCTION("""COMPUTED_VALUE"""),1.512)</f>
        <v>1.512</v>
      </c>
    </row>
    <row r="1085">
      <c r="A1085" s="26" t="str">
        <f>IFERROR(__xludf.DUMMYFUNCTION("""COMPUTED_VALUE"""),"CA-2015-150196")</f>
        <v>CA-2015-150196</v>
      </c>
      <c r="B1085" s="27">
        <f>IFERROR(__xludf.DUMMYFUNCTION("""COMPUTED_VALUE"""),42187.0)</f>
        <v>42187</v>
      </c>
      <c r="C1085" s="26" t="str">
        <f>IFERROR(__xludf.DUMMYFUNCTION("""COMPUTED_VALUE"""),"Steven Roelle")</f>
        <v>Steven Roelle</v>
      </c>
      <c r="D1085" s="26" t="str">
        <f>IFERROR(__xludf.DUMMYFUNCTION("""COMPUTED_VALUE"""),"Home Office")</f>
        <v>Home Office</v>
      </c>
      <c r="E1085" s="26" t="str">
        <f>IFERROR(__xludf.DUMMYFUNCTION("""COMPUTED_VALUE"""),"East")</f>
        <v>East</v>
      </c>
      <c r="F1085" s="26">
        <f>IFERROR(__xludf.DUMMYFUNCTION("""COMPUTED_VALUE"""),19.44)</f>
        <v>19.44</v>
      </c>
      <c r="G1085" s="26">
        <f>IFERROR(__xludf.DUMMYFUNCTION("""COMPUTED_VALUE"""),3.0)</f>
        <v>3</v>
      </c>
      <c r="H1085" s="26">
        <f>IFERROR(__xludf.DUMMYFUNCTION("""COMPUTED_VALUE"""),9.3312)</f>
        <v>9.3312</v>
      </c>
    </row>
    <row r="1086">
      <c r="A1086" s="26" t="str">
        <f>IFERROR(__xludf.DUMMYFUNCTION("""COMPUTED_VALUE"""),"CA-2015-157434")</f>
        <v>CA-2015-157434</v>
      </c>
      <c r="B1086" s="27">
        <f>IFERROR(__xludf.DUMMYFUNCTION("""COMPUTED_VALUE"""),42123.0)</f>
        <v>42123</v>
      </c>
      <c r="C1086" s="26" t="str">
        <f>IFERROR(__xludf.DUMMYFUNCTION("""COMPUTED_VALUE"""),"Jim Kriz")</f>
        <v>Jim Kriz</v>
      </c>
      <c r="D1086" s="26" t="str">
        <f>IFERROR(__xludf.DUMMYFUNCTION("""COMPUTED_VALUE"""),"Home Office")</f>
        <v>Home Office</v>
      </c>
      <c r="E1086" s="26" t="str">
        <f>IFERROR(__xludf.DUMMYFUNCTION("""COMPUTED_VALUE"""),"East")</f>
        <v>East</v>
      </c>
      <c r="F1086" s="26">
        <f>IFERROR(__xludf.DUMMYFUNCTION("""COMPUTED_VALUE"""),7.968)</f>
        <v>7.968</v>
      </c>
      <c r="G1086" s="26">
        <f>IFERROR(__xludf.DUMMYFUNCTION("""COMPUTED_VALUE"""),2.0)</f>
        <v>2</v>
      </c>
      <c r="H1086" s="26">
        <f>IFERROR(__xludf.DUMMYFUNCTION("""COMPUTED_VALUE"""),2.8884)</f>
        <v>2.8884</v>
      </c>
    </row>
    <row r="1087">
      <c r="A1087" s="26" t="str">
        <f>IFERROR(__xludf.DUMMYFUNCTION("""COMPUTED_VALUE"""),"CA-2015-130554")</f>
        <v>CA-2015-130554</v>
      </c>
      <c r="B1087" s="27">
        <f>IFERROR(__xludf.DUMMYFUNCTION("""COMPUTED_VALUE"""),42101.0)</f>
        <v>42101</v>
      </c>
      <c r="C1087" s="26" t="str">
        <f>IFERROR(__xludf.DUMMYFUNCTION("""COMPUTED_VALUE"""),"Frank Merwin")</f>
        <v>Frank Merwin</v>
      </c>
      <c r="D1087" s="26" t="str">
        <f>IFERROR(__xludf.DUMMYFUNCTION("""COMPUTED_VALUE"""),"Home Office")</f>
        <v>Home Office</v>
      </c>
      <c r="E1087" s="26" t="str">
        <f>IFERROR(__xludf.DUMMYFUNCTION("""COMPUTED_VALUE"""),"East")</f>
        <v>East</v>
      </c>
      <c r="F1087" s="26">
        <f>IFERROR(__xludf.DUMMYFUNCTION("""COMPUTED_VALUE"""),11.736)</f>
        <v>11.736</v>
      </c>
      <c r="G1087" s="26">
        <f>IFERROR(__xludf.DUMMYFUNCTION("""COMPUTED_VALUE"""),3.0)</f>
        <v>3</v>
      </c>
      <c r="H1087" s="26">
        <f>IFERROR(__xludf.DUMMYFUNCTION("""COMPUTED_VALUE"""),1.0269)</f>
        <v>1.0269</v>
      </c>
    </row>
    <row r="1088">
      <c r="A1088" s="26" t="str">
        <f>IFERROR(__xludf.DUMMYFUNCTION("""COMPUTED_VALUE"""),"US-2015-126977")</f>
        <v>US-2015-126977</v>
      </c>
      <c r="B1088" s="27">
        <f>IFERROR(__xludf.DUMMYFUNCTION("""COMPUTED_VALUE"""),42264.0)</f>
        <v>42264</v>
      </c>
      <c r="C1088" s="26" t="str">
        <f>IFERROR(__xludf.DUMMYFUNCTION("""COMPUTED_VALUE"""),"Peter Fuller")</f>
        <v>Peter Fuller</v>
      </c>
      <c r="D1088" s="26" t="str">
        <f>IFERROR(__xludf.DUMMYFUNCTION("""COMPUTED_VALUE"""),"Consumer")</f>
        <v>Consumer</v>
      </c>
      <c r="E1088" s="26" t="str">
        <f>IFERROR(__xludf.DUMMYFUNCTION("""COMPUTED_VALUE"""),"East")</f>
        <v>East</v>
      </c>
      <c r="F1088" s="26">
        <f>IFERROR(__xludf.DUMMYFUNCTION("""COMPUTED_VALUE"""),14.9)</f>
        <v>14.9</v>
      </c>
      <c r="G1088" s="26">
        <f>IFERROR(__xludf.DUMMYFUNCTION("""COMPUTED_VALUE"""),5.0)</f>
        <v>5</v>
      </c>
      <c r="H1088" s="26">
        <f>IFERROR(__xludf.DUMMYFUNCTION("""COMPUTED_VALUE"""),1.043)</f>
        <v>1.043</v>
      </c>
    </row>
    <row r="1089">
      <c r="A1089" s="26" t="str">
        <f>IFERROR(__xludf.DUMMYFUNCTION("""COMPUTED_VALUE"""),"CA-2015-143980")</f>
        <v>CA-2015-143980</v>
      </c>
      <c r="B1089" s="27">
        <f>IFERROR(__xludf.DUMMYFUNCTION("""COMPUTED_VALUE"""),42363.0)</f>
        <v>42363</v>
      </c>
      <c r="C1089" s="26" t="str">
        <f>IFERROR(__xludf.DUMMYFUNCTION("""COMPUTED_VALUE"""),"Jim Kriz")</f>
        <v>Jim Kriz</v>
      </c>
      <c r="D1089" s="26" t="str">
        <f>IFERROR(__xludf.DUMMYFUNCTION("""COMPUTED_VALUE"""),"Home Office")</f>
        <v>Home Office</v>
      </c>
      <c r="E1089" s="26" t="str">
        <f>IFERROR(__xludf.DUMMYFUNCTION("""COMPUTED_VALUE"""),"East")</f>
        <v>East</v>
      </c>
      <c r="F1089" s="26">
        <f>IFERROR(__xludf.DUMMYFUNCTION("""COMPUTED_VALUE"""),414.96)</f>
        <v>414.96</v>
      </c>
      <c r="G1089" s="26">
        <f>IFERROR(__xludf.DUMMYFUNCTION("""COMPUTED_VALUE"""),2.0)</f>
        <v>2</v>
      </c>
      <c r="H1089" s="26">
        <f>IFERROR(__xludf.DUMMYFUNCTION("""COMPUTED_VALUE"""),124.488)</f>
        <v>124.488</v>
      </c>
    </row>
    <row r="1090">
      <c r="A1090" s="26" t="str">
        <f>IFERROR(__xludf.DUMMYFUNCTION("""COMPUTED_VALUE"""),"CA-2015-100657")</f>
        <v>CA-2015-100657</v>
      </c>
      <c r="B1090" s="27">
        <f>IFERROR(__xludf.DUMMYFUNCTION("""COMPUTED_VALUE"""),42310.0)</f>
        <v>42310</v>
      </c>
      <c r="C1090" s="26" t="str">
        <f>IFERROR(__xludf.DUMMYFUNCTION("""COMPUTED_VALUE"""),"Scot Wooten")</f>
        <v>Scot Wooten</v>
      </c>
      <c r="D1090" s="26" t="str">
        <f>IFERROR(__xludf.DUMMYFUNCTION("""COMPUTED_VALUE"""),"Consumer")</f>
        <v>Consumer</v>
      </c>
      <c r="E1090" s="26" t="str">
        <f>IFERROR(__xludf.DUMMYFUNCTION("""COMPUTED_VALUE"""),"East")</f>
        <v>East</v>
      </c>
      <c r="F1090" s="26">
        <f>IFERROR(__xludf.DUMMYFUNCTION("""COMPUTED_VALUE"""),109.764)</f>
        <v>109.764</v>
      </c>
      <c r="G1090" s="26">
        <f>IFERROR(__xludf.DUMMYFUNCTION("""COMPUTED_VALUE"""),2.0)</f>
        <v>2</v>
      </c>
      <c r="H1090" s="26">
        <f>IFERROR(__xludf.DUMMYFUNCTION("""COMPUTED_VALUE"""),8.5372)</f>
        <v>8.5372</v>
      </c>
    </row>
    <row r="1091">
      <c r="A1091" s="26" t="str">
        <f>IFERROR(__xludf.DUMMYFUNCTION("""COMPUTED_VALUE"""),"CA-2015-134201")</f>
        <v>CA-2015-134201</v>
      </c>
      <c r="B1091" s="27">
        <f>IFERROR(__xludf.DUMMYFUNCTION("""COMPUTED_VALUE"""),42104.0)</f>
        <v>42104</v>
      </c>
      <c r="C1091" s="26" t="str">
        <f>IFERROR(__xludf.DUMMYFUNCTION("""COMPUTED_VALUE"""),"Eugene Hildebrand")</f>
        <v>Eugene Hildebrand</v>
      </c>
      <c r="D1091" s="26" t="str">
        <f>IFERROR(__xludf.DUMMYFUNCTION("""COMPUTED_VALUE"""),"Home Office")</f>
        <v>Home Office</v>
      </c>
      <c r="E1091" s="26" t="str">
        <f>IFERROR(__xludf.DUMMYFUNCTION("""COMPUTED_VALUE"""),"East")</f>
        <v>East</v>
      </c>
      <c r="F1091" s="26">
        <f>IFERROR(__xludf.DUMMYFUNCTION("""COMPUTED_VALUE"""),142.04)</f>
        <v>142.04</v>
      </c>
      <c r="G1091" s="26">
        <f>IFERROR(__xludf.DUMMYFUNCTION("""COMPUTED_VALUE"""),4.0)</f>
        <v>4</v>
      </c>
      <c r="H1091" s="26">
        <f>IFERROR(__xludf.DUMMYFUNCTION("""COMPUTED_VALUE"""),38.3508)</f>
        <v>38.3508</v>
      </c>
    </row>
    <row r="1092">
      <c r="A1092" s="26" t="str">
        <f>IFERROR(__xludf.DUMMYFUNCTION("""COMPUTED_VALUE"""),"CA-2015-119942")</f>
        <v>CA-2015-119942</v>
      </c>
      <c r="B1092" s="27">
        <f>IFERROR(__xludf.DUMMYFUNCTION("""COMPUTED_VALUE"""),42099.0)</f>
        <v>42099</v>
      </c>
      <c r="C1092" s="26" t="str">
        <f>IFERROR(__xludf.DUMMYFUNCTION("""COMPUTED_VALUE"""),"Ted Trevino")</f>
        <v>Ted Trevino</v>
      </c>
      <c r="D1092" s="26" t="str">
        <f>IFERROR(__xludf.DUMMYFUNCTION("""COMPUTED_VALUE"""),"Consumer")</f>
        <v>Consumer</v>
      </c>
      <c r="E1092" s="26" t="str">
        <f>IFERROR(__xludf.DUMMYFUNCTION("""COMPUTED_VALUE"""),"East")</f>
        <v>East</v>
      </c>
      <c r="F1092" s="26">
        <f>IFERROR(__xludf.DUMMYFUNCTION("""COMPUTED_VALUE"""),23.904)</f>
        <v>23.904</v>
      </c>
      <c r="G1092" s="26">
        <f>IFERROR(__xludf.DUMMYFUNCTION("""COMPUTED_VALUE"""),6.0)</f>
        <v>6</v>
      </c>
      <c r="H1092" s="26">
        <f>IFERROR(__xludf.DUMMYFUNCTION("""COMPUTED_VALUE"""),7.7688)</f>
        <v>7.7688</v>
      </c>
    </row>
    <row r="1093">
      <c r="A1093" s="26" t="str">
        <f>IFERROR(__xludf.DUMMYFUNCTION("""COMPUTED_VALUE"""),"CA-2015-138331")</f>
        <v>CA-2015-138331</v>
      </c>
      <c r="B1093" s="27">
        <f>IFERROR(__xludf.DUMMYFUNCTION("""COMPUTED_VALUE"""),42223.0)</f>
        <v>42223</v>
      </c>
      <c r="C1093" s="26" t="str">
        <f>IFERROR(__xludf.DUMMYFUNCTION("""COMPUTED_VALUE"""),"Jim Karlsson")</f>
        <v>Jim Karlsson</v>
      </c>
      <c r="D1093" s="26" t="str">
        <f>IFERROR(__xludf.DUMMYFUNCTION("""COMPUTED_VALUE"""),"Consumer")</f>
        <v>Consumer</v>
      </c>
      <c r="E1093" s="26" t="str">
        <f>IFERROR(__xludf.DUMMYFUNCTION("""COMPUTED_VALUE"""),"East")</f>
        <v>East</v>
      </c>
      <c r="F1093" s="26">
        <f>IFERROR(__xludf.DUMMYFUNCTION("""COMPUTED_VALUE"""),106.8)</f>
        <v>106.8</v>
      </c>
      <c r="G1093" s="26">
        <f>IFERROR(__xludf.DUMMYFUNCTION("""COMPUTED_VALUE"""),10.0)</f>
        <v>10</v>
      </c>
      <c r="H1093" s="26">
        <f>IFERROR(__xludf.DUMMYFUNCTION("""COMPUTED_VALUE"""),10.68)</f>
        <v>10.68</v>
      </c>
    </row>
    <row r="1094">
      <c r="A1094" s="26" t="str">
        <f>IFERROR(__xludf.DUMMYFUNCTION("""COMPUTED_VALUE"""),"CA-2015-138954")</f>
        <v>CA-2015-138954</v>
      </c>
      <c r="B1094" s="27">
        <f>IFERROR(__xludf.DUMMYFUNCTION("""COMPUTED_VALUE"""),42323.0)</f>
        <v>42323</v>
      </c>
      <c r="C1094" s="26" t="str">
        <f>IFERROR(__xludf.DUMMYFUNCTION("""COMPUTED_VALUE"""),"Maya Herman")</f>
        <v>Maya Herman</v>
      </c>
      <c r="D1094" s="26" t="str">
        <f>IFERROR(__xludf.DUMMYFUNCTION("""COMPUTED_VALUE"""),"Corporate")</f>
        <v>Corporate</v>
      </c>
      <c r="E1094" s="26" t="str">
        <f>IFERROR(__xludf.DUMMYFUNCTION("""COMPUTED_VALUE"""),"East")</f>
        <v>East</v>
      </c>
      <c r="F1094" s="26">
        <f>IFERROR(__xludf.DUMMYFUNCTION("""COMPUTED_VALUE"""),70.95)</f>
        <v>70.95</v>
      </c>
      <c r="G1094" s="26">
        <f>IFERROR(__xludf.DUMMYFUNCTION("""COMPUTED_VALUE"""),3.0)</f>
        <v>3</v>
      </c>
      <c r="H1094" s="26">
        <f>IFERROR(__xludf.DUMMYFUNCTION("""COMPUTED_VALUE"""),20.5755)</f>
        <v>20.5755</v>
      </c>
    </row>
    <row r="1095">
      <c r="A1095" s="26" t="str">
        <f>IFERROR(__xludf.DUMMYFUNCTION("""COMPUTED_VALUE"""),"CA-2015-161711")</f>
        <v>CA-2015-161711</v>
      </c>
      <c r="B1095" s="27">
        <f>IFERROR(__xludf.DUMMYFUNCTION("""COMPUTED_VALUE"""),42336.0)</f>
        <v>42336</v>
      </c>
      <c r="C1095" s="26" t="str">
        <f>IFERROR(__xludf.DUMMYFUNCTION("""COMPUTED_VALUE"""),"Mark Cousins")</f>
        <v>Mark Cousins</v>
      </c>
      <c r="D1095" s="26" t="str">
        <f>IFERROR(__xludf.DUMMYFUNCTION("""COMPUTED_VALUE"""),"Corporate")</f>
        <v>Corporate</v>
      </c>
      <c r="E1095" s="26" t="str">
        <f>IFERROR(__xludf.DUMMYFUNCTION("""COMPUTED_VALUE"""),"East")</f>
        <v>East</v>
      </c>
      <c r="F1095" s="26">
        <f>IFERROR(__xludf.DUMMYFUNCTION("""COMPUTED_VALUE"""),68.16)</f>
        <v>68.16</v>
      </c>
      <c r="G1095" s="26">
        <f>IFERROR(__xludf.DUMMYFUNCTION("""COMPUTED_VALUE"""),3.0)</f>
        <v>3</v>
      </c>
      <c r="H1095" s="26">
        <f>IFERROR(__xludf.DUMMYFUNCTION("""COMPUTED_VALUE"""),27.9456)</f>
        <v>27.9456</v>
      </c>
    </row>
    <row r="1096">
      <c r="A1096" s="26" t="str">
        <f>IFERROR(__xludf.DUMMYFUNCTION("""COMPUTED_VALUE"""),"CA-2015-133536")</f>
        <v>CA-2015-133536</v>
      </c>
      <c r="B1096" s="27">
        <f>IFERROR(__xludf.DUMMYFUNCTION("""COMPUTED_VALUE"""),42091.0)</f>
        <v>42091</v>
      </c>
      <c r="C1096" s="26" t="str">
        <f>IFERROR(__xludf.DUMMYFUNCTION("""COMPUTED_VALUE"""),"John Huston")</f>
        <v>John Huston</v>
      </c>
      <c r="D1096" s="26" t="str">
        <f>IFERROR(__xludf.DUMMYFUNCTION("""COMPUTED_VALUE"""),"Consumer")</f>
        <v>Consumer</v>
      </c>
      <c r="E1096" s="26" t="str">
        <f>IFERROR(__xludf.DUMMYFUNCTION("""COMPUTED_VALUE"""),"East")</f>
        <v>East</v>
      </c>
      <c r="F1096" s="26">
        <f>IFERROR(__xludf.DUMMYFUNCTION("""COMPUTED_VALUE"""),22.92)</f>
        <v>22.92</v>
      </c>
      <c r="G1096" s="26">
        <f>IFERROR(__xludf.DUMMYFUNCTION("""COMPUTED_VALUE"""),3.0)</f>
        <v>3</v>
      </c>
      <c r="H1096" s="26">
        <f>IFERROR(__xludf.DUMMYFUNCTION("""COMPUTED_VALUE"""),11.2308)</f>
        <v>11.2308</v>
      </c>
    </row>
    <row r="1097">
      <c r="A1097" s="26" t="str">
        <f>IFERROR(__xludf.DUMMYFUNCTION("""COMPUTED_VALUE"""),"CA-2015-115392")</f>
        <v>CA-2015-115392</v>
      </c>
      <c r="B1097" s="27">
        <f>IFERROR(__xludf.DUMMYFUNCTION("""COMPUTED_VALUE"""),42278.0)</f>
        <v>42278</v>
      </c>
      <c r="C1097" s="26" t="str">
        <f>IFERROR(__xludf.DUMMYFUNCTION("""COMPUTED_VALUE"""),"Robert Marley")</f>
        <v>Robert Marley</v>
      </c>
      <c r="D1097" s="26" t="str">
        <f>IFERROR(__xludf.DUMMYFUNCTION("""COMPUTED_VALUE"""),"Home Office")</f>
        <v>Home Office</v>
      </c>
      <c r="E1097" s="26" t="str">
        <f>IFERROR(__xludf.DUMMYFUNCTION("""COMPUTED_VALUE"""),"East")</f>
        <v>East</v>
      </c>
      <c r="F1097" s="26">
        <f>IFERROR(__xludf.DUMMYFUNCTION("""COMPUTED_VALUE"""),311.98)</f>
        <v>311.98</v>
      </c>
      <c r="G1097" s="26">
        <f>IFERROR(__xludf.DUMMYFUNCTION("""COMPUTED_VALUE"""),2.0)</f>
        <v>2</v>
      </c>
      <c r="H1097" s="26">
        <f>IFERROR(__xludf.DUMMYFUNCTION("""COMPUTED_VALUE"""),93.594)</f>
        <v>93.594</v>
      </c>
    </row>
    <row r="1098">
      <c r="A1098" s="26" t="str">
        <f>IFERROR(__xludf.DUMMYFUNCTION("""COMPUTED_VALUE"""),"CA-2015-116484")</f>
        <v>CA-2015-116484</v>
      </c>
      <c r="B1098" s="27">
        <f>IFERROR(__xludf.DUMMYFUNCTION("""COMPUTED_VALUE"""),42328.0)</f>
        <v>42328</v>
      </c>
      <c r="C1098" s="26" t="str">
        <f>IFERROR(__xludf.DUMMYFUNCTION("""COMPUTED_VALUE"""),"Jamie Kunitz")</f>
        <v>Jamie Kunitz</v>
      </c>
      <c r="D1098" s="26" t="str">
        <f>IFERROR(__xludf.DUMMYFUNCTION("""COMPUTED_VALUE"""),"Consumer")</f>
        <v>Consumer</v>
      </c>
      <c r="E1098" s="26" t="str">
        <f>IFERROR(__xludf.DUMMYFUNCTION("""COMPUTED_VALUE"""),"East")</f>
        <v>East</v>
      </c>
      <c r="F1098" s="26">
        <f>IFERROR(__xludf.DUMMYFUNCTION("""COMPUTED_VALUE"""),63.824)</f>
        <v>63.824</v>
      </c>
      <c r="G1098" s="26">
        <f>IFERROR(__xludf.DUMMYFUNCTION("""COMPUTED_VALUE"""),2.0)</f>
        <v>2</v>
      </c>
      <c r="H1098" s="26">
        <f>IFERROR(__xludf.DUMMYFUNCTION("""COMPUTED_VALUE"""),9.5736)</f>
        <v>9.5736</v>
      </c>
    </row>
    <row r="1099">
      <c r="A1099" s="26" t="str">
        <f>IFERROR(__xludf.DUMMYFUNCTION("""COMPUTED_VALUE"""),"CA-2015-146255")</f>
        <v>CA-2015-146255</v>
      </c>
      <c r="B1099" s="27">
        <f>IFERROR(__xludf.DUMMYFUNCTION("""COMPUTED_VALUE"""),42070.0)</f>
        <v>42070</v>
      </c>
      <c r="C1099" s="26" t="str">
        <f>IFERROR(__xludf.DUMMYFUNCTION("""COMPUTED_VALUE"""),"Eugene Moren")</f>
        <v>Eugene Moren</v>
      </c>
      <c r="D1099" s="26" t="str">
        <f>IFERROR(__xludf.DUMMYFUNCTION("""COMPUTED_VALUE"""),"Home Office")</f>
        <v>Home Office</v>
      </c>
      <c r="E1099" s="26" t="str">
        <f>IFERROR(__xludf.DUMMYFUNCTION("""COMPUTED_VALUE"""),"East")</f>
        <v>East</v>
      </c>
      <c r="F1099" s="26">
        <f>IFERROR(__xludf.DUMMYFUNCTION("""COMPUTED_VALUE"""),119.85)</f>
        <v>119.85</v>
      </c>
      <c r="G1099" s="26">
        <f>IFERROR(__xludf.DUMMYFUNCTION("""COMPUTED_VALUE"""),3.0)</f>
        <v>3</v>
      </c>
      <c r="H1099" s="26">
        <f>IFERROR(__xludf.DUMMYFUNCTION("""COMPUTED_VALUE"""),52.734)</f>
        <v>52.734</v>
      </c>
    </row>
    <row r="1100">
      <c r="A1100" s="26" t="str">
        <f>IFERROR(__xludf.DUMMYFUNCTION("""COMPUTED_VALUE"""),"US-2015-161347")</f>
        <v>US-2015-161347</v>
      </c>
      <c r="B1100" s="27">
        <f>IFERROR(__xludf.DUMMYFUNCTION("""COMPUTED_VALUE"""),42260.0)</f>
        <v>42260</v>
      </c>
      <c r="C1100" s="26" t="str">
        <f>IFERROR(__xludf.DUMMYFUNCTION("""COMPUTED_VALUE"""),"Harry Greene")</f>
        <v>Harry Greene</v>
      </c>
      <c r="D1100" s="26" t="str">
        <f>IFERROR(__xludf.DUMMYFUNCTION("""COMPUTED_VALUE"""),"Consumer")</f>
        <v>Consumer</v>
      </c>
      <c r="E1100" s="26" t="str">
        <f>IFERROR(__xludf.DUMMYFUNCTION("""COMPUTED_VALUE"""),"East")</f>
        <v>East</v>
      </c>
      <c r="F1100" s="26">
        <f>IFERROR(__xludf.DUMMYFUNCTION("""COMPUTED_VALUE"""),2.412)</f>
        <v>2.412</v>
      </c>
      <c r="G1100" s="26">
        <f>IFERROR(__xludf.DUMMYFUNCTION("""COMPUTED_VALUE"""),1.0)</f>
        <v>1</v>
      </c>
      <c r="H1100" s="26">
        <f>IFERROR(__xludf.DUMMYFUNCTION("""COMPUTED_VALUE"""),-2.01)</f>
        <v>-2.01</v>
      </c>
    </row>
    <row r="1101">
      <c r="A1101" s="26" t="str">
        <f>IFERROR(__xludf.DUMMYFUNCTION("""COMPUTED_VALUE"""),"US-2015-109015")</f>
        <v>US-2015-109015</v>
      </c>
      <c r="B1101" s="27">
        <f>IFERROR(__xludf.DUMMYFUNCTION("""COMPUTED_VALUE"""),42253.0)</f>
        <v>42253</v>
      </c>
      <c r="C1101" s="26" t="str">
        <f>IFERROR(__xludf.DUMMYFUNCTION("""COMPUTED_VALUE"""),"Brendan Sweed")</f>
        <v>Brendan Sweed</v>
      </c>
      <c r="D1101" s="26" t="str">
        <f>IFERROR(__xludf.DUMMYFUNCTION("""COMPUTED_VALUE"""),"Corporate")</f>
        <v>Corporate</v>
      </c>
      <c r="E1101" s="26" t="str">
        <f>IFERROR(__xludf.DUMMYFUNCTION("""COMPUTED_VALUE"""),"East")</f>
        <v>East</v>
      </c>
      <c r="F1101" s="26">
        <f>IFERROR(__xludf.DUMMYFUNCTION("""COMPUTED_VALUE"""),8.39)</f>
        <v>8.39</v>
      </c>
      <c r="G1101" s="26">
        <f>IFERROR(__xludf.DUMMYFUNCTION("""COMPUTED_VALUE"""),1.0)</f>
        <v>1</v>
      </c>
      <c r="H1101" s="26">
        <f>IFERROR(__xludf.DUMMYFUNCTION("""COMPUTED_VALUE"""),2.0975)</f>
        <v>2.0975</v>
      </c>
    </row>
    <row r="1102">
      <c r="A1102" s="26" t="str">
        <f>IFERROR(__xludf.DUMMYFUNCTION("""COMPUTED_VALUE"""),"CA-2015-156510")</f>
        <v>CA-2015-156510</v>
      </c>
      <c r="B1102" s="27">
        <f>IFERROR(__xludf.DUMMYFUNCTION("""COMPUTED_VALUE"""),42272.0)</f>
        <v>42272</v>
      </c>
      <c r="C1102" s="26" t="str">
        <f>IFERROR(__xludf.DUMMYFUNCTION("""COMPUTED_VALUE"""),"Erica Hackney")</f>
        <v>Erica Hackney</v>
      </c>
      <c r="D1102" s="26" t="str">
        <f>IFERROR(__xludf.DUMMYFUNCTION("""COMPUTED_VALUE"""),"Consumer")</f>
        <v>Consumer</v>
      </c>
      <c r="E1102" s="26" t="str">
        <f>IFERROR(__xludf.DUMMYFUNCTION("""COMPUTED_VALUE"""),"East")</f>
        <v>East</v>
      </c>
      <c r="F1102" s="26">
        <f>IFERROR(__xludf.DUMMYFUNCTION("""COMPUTED_VALUE"""),10.76)</f>
        <v>10.76</v>
      </c>
      <c r="G1102" s="26">
        <f>IFERROR(__xludf.DUMMYFUNCTION("""COMPUTED_VALUE"""),2.0)</f>
        <v>2</v>
      </c>
      <c r="H1102" s="26">
        <f>IFERROR(__xludf.DUMMYFUNCTION("""COMPUTED_VALUE"""),5.1648)</f>
        <v>5.1648</v>
      </c>
    </row>
    <row r="1103">
      <c r="A1103" s="26" t="str">
        <f>IFERROR(__xludf.DUMMYFUNCTION("""COMPUTED_VALUE"""),"CA-2015-109862")</f>
        <v>CA-2015-109862</v>
      </c>
      <c r="B1103" s="27">
        <f>IFERROR(__xludf.DUMMYFUNCTION("""COMPUTED_VALUE"""),42302.0)</f>
        <v>42302</v>
      </c>
      <c r="C1103" s="26" t="str">
        <f>IFERROR(__xludf.DUMMYFUNCTION("""COMPUTED_VALUE"""),"Heather Kirkland")</f>
        <v>Heather Kirkland</v>
      </c>
      <c r="D1103" s="26" t="str">
        <f>IFERROR(__xludf.DUMMYFUNCTION("""COMPUTED_VALUE"""),"Corporate")</f>
        <v>Corporate</v>
      </c>
      <c r="E1103" s="26" t="str">
        <f>IFERROR(__xludf.DUMMYFUNCTION("""COMPUTED_VALUE"""),"East")</f>
        <v>East</v>
      </c>
      <c r="F1103" s="26">
        <f>IFERROR(__xludf.DUMMYFUNCTION("""COMPUTED_VALUE"""),158.99)</f>
        <v>158.99</v>
      </c>
      <c r="G1103" s="26">
        <f>IFERROR(__xludf.DUMMYFUNCTION("""COMPUTED_VALUE"""),1.0)</f>
        <v>1</v>
      </c>
      <c r="H1103" s="26">
        <f>IFERROR(__xludf.DUMMYFUNCTION("""COMPUTED_VALUE"""),41.3374)</f>
        <v>41.3374</v>
      </c>
    </row>
    <row r="1104">
      <c r="A1104" s="26" t="str">
        <f>IFERROR(__xludf.DUMMYFUNCTION("""COMPUTED_VALUE"""),"CA-2015-126739")</f>
        <v>CA-2015-126739</v>
      </c>
      <c r="B1104" s="27">
        <f>IFERROR(__xludf.DUMMYFUNCTION("""COMPUTED_VALUE"""),42309.0)</f>
        <v>42309</v>
      </c>
      <c r="C1104" s="26" t="str">
        <f>IFERROR(__xludf.DUMMYFUNCTION("""COMPUTED_VALUE"""),"Justin Hirsh")</f>
        <v>Justin Hirsh</v>
      </c>
      <c r="D1104" s="26" t="str">
        <f>IFERROR(__xludf.DUMMYFUNCTION("""COMPUTED_VALUE"""),"Consumer")</f>
        <v>Consumer</v>
      </c>
      <c r="E1104" s="26" t="str">
        <f>IFERROR(__xludf.DUMMYFUNCTION("""COMPUTED_VALUE"""),"East")</f>
        <v>East</v>
      </c>
      <c r="F1104" s="26">
        <f>IFERROR(__xludf.DUMMYFUNCTION("""COMPUTED_VALUE"""),327.564)</f>
        <v>327.564</v>
      </c>
      <c r="G1104" s="26">
        <f>IFERROR(__xludf.DUMMYFUNCTION("""COMPUTED_VALUE"""),4.0)</f>
        <v>4</v>
      </c>
      <c r="H1104" s="26">
        <f>IFERROR(__xludf.DUMMYFUNCTION("""COMPUTED_VALUE"""),21.8376)</f>
        <v>21.8376</v>
      </c>
    </row>
    <row r="1105">
      <c r="A1105" s="26" t="str">
        <f>IFERROR(__xludf.DUMMYFUNCTION("""COMPUTED_VALUE"""),"CA-2015-166947")</f>
        <v>CA-2015-166947</v>
      </c>
      <c r="B1105" s="27">
        <f>IFERROR(__xludf.DUMMYFUNCTION("""COMPUTED_VALUE"""),42160.0)</f>
        <v>42160</v>
      </c>
      <c r="C1105" s="26" t="str">
        <f>IFERROR(__xludf.DUMMYFUNCTION("""COMPUTED_VALUE"""),"Edward Becker")</f>
        <v>Edward Becker</v>
      </c>
      <c r="D1105" s="26" t="str">
        <f>IFERROR(__xludf.DUMMYFUNCTION("""COMPUTED_VALUE"""),"Corporate")</f>
        <v>Corporate</v>
      </c>
      <c r="E1105" s="26" t="str">
        <f>IFERROR(__xludf.DUMMYFUNCTION("""COMPUTED_VALUE"""),"East")</f>
        <v>East</v>
      </c>
      <c r="F1105" s="26">
        <f>IFERROR(__xludf.DUMMYFUNCTION("""COMPUTED_VALUE"""),1522.638)</f>
        <v>1522.638</v>
      </c>
      <c r="G1105" s="26">
        <f>IFERROR(__xludf.DUMMYFUNCTION("""COMPUTED_VALUE"""),9.0)</f>
        <v>9</v>
      </c>
      <c r="H1105" s="26">
        <f>IFERROR(__xludf.DUMMYFUNCTION("""COMPUTED_VALUE"""),169.182)</f>
        <v>169.182</v>
      </c>
    </row>
    <row r="1106">
      <c r="A1106" s="26" t="str">
        <f>IFERROR(__xludf.DUMMYFUNCTION("""COMPUTED_VALUE"""),"US-2015-118906")</f>
        <v>US-2015-118906</v>
      </c>
      <c r="B1106" s="27">
        <f>IFERROR(__xludf.DUMMYFUNCTION("""COMPUTED_VALUE"""),42073.0)</f>
        <v>42073</v>
      </c>
      <c r="C1106" s="26" t="str">
        <f>IFERROR(__xludf.DUMMYFUNCTION("""COMPUTED_VALUE"""),"Ken Black")</f>
        <v>Ken Black</v>
      </c>
      <c r="D1106" s="26" t="str">
        <f>IFERROR(__xludf.DUMMYFUNCTION("""COMPUTED_VALUE"""),"Corporate")</f>
        <v>Corporate</v>
      </c>
      <c r="E1106" s="26" t="str">
        <f>IFERROR(__xludf.DUMMYFUNCTION("""COMPUTED_VALUE"""),"East")</f>
        <v>East</v>
      </c>
      <c r="F1106" s="26">
        <f>IFERROR(__xludf.DUMMYFUNCTION("""COMPUTED_VALUE"""),89.82)</f>
        <v>89.82</v>
      </c>
      <c r="G1106" s="26">
        <f>IFERROR(__xludf.DUMMYFUNCTION("""COMPUTED_VALUE"""),6.0)</f>
        <v>6</v>
      </c>
      <c r="H1106" s="26">
        <f>IFERROR(__xludf.DUMMYFUNCTION("""COMPUTED_VALUE"""),25.1496)</f>
        <v>25.1496</v>
      </c>
    </row>
    <row r="1107">
      <c r="A1107" s="26" t="str">
        <f>IFERROR(__xludf.DUMMYFUNCTION("""COMPUTED_VALUE"""),"CA-2015-135489")</f>
        <v>CA-2015-135489</v>
      </c>
      <c r="B1107" s="27">
        <f>IFERROR(__xludf.DUMMYFUNCTION("""COMPUTED_VALUE"""),42266.0)</f>
        <v>42266</v>
      </c>
      <c r="C1107" s="26" t="str">
        <f>IFERROR(__xludf.DUMMYFUNCTION("""COMPUTED_VALUE"""),"Giulietta Weimer")</f>
        <v>Giulietta Weimer</v>
      </c>
      <c r="D1107" s="26" t="str">
        <f>IFERROR(__xludf.DUMMYFUNCTION("""COMPUTED_VALUE"""),"Consumer")</f>
        <v>Consumer</v>
      </c>
      <c r="E1107" s="26" t="str">
        <f>IFERROR(__xludf.DUMMYFUNCTION("""COMPUTED_VALUE"""),"East")</f>
        <v>East</v>
      </c>
      <c r="F1107" s="26">
        <f>IFERROR(__xludf.DUMMYFUNCTION("""COMPUTED_VALUE"""),279.86)</f>
        <v>279.86</v>
      </c>
      <c r="G1107" s="26">
        <f>IFERROR(__xludf.DUMMYFUNCTION("""COMPUTED_VALUE"""),14.0)</f>
        <v>14</v>
      </c>
      <c r="H1107" s="26">
        <f>IFERROR(__xludf.DUMMYFUNCTION("""COMPUTED_VALUE"""),134.3328)</f>
        <v>134.3328</v>
      </c>
    </row>
    <row r="1108">
      <c r="A1108" s="26" t="str">
        <f>IFERROR(__xludf.DUMMYFUNCTION("""COMPUTED_VALUE"""),"CA-2015-129322")</f>
        <v>CA-2015-129322</v>
      </c>
      <c r="B1108" s="27">
        <f>IFERROR(__xludf.DUMMYFUNCTION("""COMPUTED_VALUE"""),42224.0)</f>
        <v>42224</v>
      </c>
      <c r="C1108" s="26" t="str">
        <f>IFERROR(__xludf.DUMMYFUNCTION("""COMPUTED_VALUE"""),"Denny Blanton")</f>
        <v>Denny Blanton</v>
      </c>
      <c r="D1108" s="26" t="str">
        <f>IFERROR(__xludf.DUMMYFUNCTION("""COMPUTED_VALUE"""),"Consumer")</f>
        <v>Consumer</v>
      </c>
      <c r="E1108" s="26" t="str">
        <f>IFERROR(__xludf.DUMMYFUNCTION("""COMPUTED_VALUE"""),"East")</f>
        <v>East</v>
      </c>
      <c r="F1108" s="26">
        <f>IFERROR(__xludf.DUMMYFUNCTION("""COMPUTED_VALUE"""),39.66)</f>
        <v>39.66</v>
      </c>
      <c r="G1108" s="26">
        <f>IFERROR(__xludf.DUMMYFUNCTION("""COMPUTED_VALUE"""),2.0)</f>
        <v>2</v>
      </c>
      <c r="H1108" s="26">
        <f>IFERROR(__xludf.DUMMYFUNCTION("""COMPUTED_VALUE"""),11.898)</f>
        <v>11.898</v>
      </c>
    </row>
    <row r="1109">
      <c r="A1109" s="26" t="str">
        <f>IFERROR(__xludf.DUMMYFUNCTION("""COMPUTED_VALUE"""),"CA-2015-156923")</f>
        <v>CA-2015-156923</v>
      </c>
      <c r="B1109" s="27">
        <f>IFERROR(__xludf.DUMMYFUNCTION("""COMPUTED_VALUE"""),42051.0)</f>
        <v>42051</v>
      </c>
      <c r="C1109" s="26" t="str">
        <f>IFERROR(__xludf.DUMMYFUNCTION("""COMPUTED_VALUE"""),"Sung Pak")</f>
        <v>Sung Pak</v>
      </c>
      <c r="D1109" s="26" t="str">
        <f>IFERROR(__xludf.DUMMYFUNCTION("""COMPUTED_VALUE"""),"Corporate")</f>
        <v>Corporate</v>
      </c>
      <c r="E1109" s="26" t="str">
        <f>IFERROR(__xludf.DUMMYFUNCTION("""COMPUTED_VALUE"""),"East")</f>
        <v>East</v>
      </c>
      <c r="F1109" s="26">
        <f>IFERROR(__xludf.DUMMYFUNCTION("""COMPUTED_VALUE"""),35.88)</f>
        <v>35.88</v>
      </c>
      <c r="G1109" s="26">
        <f>IFERROR(__xludf.DUMMYFUNCTION("""COMPUTED_VALUE"""),6.0)</f>
        <v>6</v>
      </c>
      <c r="H1109" s="26">
        <f>IFERROR(__xludf.DUMMYFUNCTION("""COMPUTED_VALUE"""),16.146)</f>
        <v>16.146</v>
      </c>
    </row>
    <row r="1110">
      <c r="A1110" s="26" t="str">
        <f>IFERROR(__xludf.DUMMYFUNCTION("""COMPUTED_VALUE"""),"CA-2015-105361")</f>
        <v>CA-2015-105361</v>
      </c>
      <c r="B1110" s="27">
        <f>IFERROR(__xludf.DUMMYFUNCTION("""COMPUTED_VALUE"""),42092.0)</f>
        <v>42092</v>
      </c>
      <c r="C1110" s="26" t="str">
        <f>IFERROR(__xludf.DUMMYFUNCTION("""COMPUTED_VALUE"""),"Chad McGuire")</f>
        <v>Chad McGuire</v>
      </c>
      <c r="D1110" s="26" t="str">
        <f>IFERROR(__xludf.DUMMYFUNCTION("""COMPUTED_VALUE"""),"Consumer")</f>
        <v>Consumer</v>
      </c>
      <c r="E1110" s="26" t="str">
        <f>IFERROR(__xludf.DUMMYFUNCTION("""COMPUTED_VALUE"""),"East")</f>
        <v>East</v>
      </c>
      <c r="F1110" s="26">
        <f>IFERROR(__xludf.DUMMYFUNCTION("""COMPUTED_VALUE"""),17.64)</f>
        <v>17.64</v>
      </c>
      <c r="G1110" s="26">
        <f>IFERROR(__xludf.DUMMYFUNCTION("""COMPUTED_VALUE"""),4.0)</f>
        <v>4</v>
      </c>
      <c r="H1110" s="26">
        <f>IFERROR(__xludf.DUMMYFUNCTION("""COMPUTED_VALUE"""),8.1144)</f>
        <v>8.1144</v>
      </c>
    </row>
    <row r="1111">
      <c r="A1111" s="26" t="str">
        <f>IFERROR(__xludf.DUMMYFUNCTION("""COMPUTED_VALUE"""),"CA-2015-116260")</f>
        <v>CA-2015-116260</v>
      </c>
      <c r="B1111" s="27">
        <f>IFERROR(__xludf.DUMMYFUNCTION("""COMPUTED_VALUE"""),42191.0)</f>
        <v>42191</v>
      </c>
      <c r="C1111" s="26" t="str">
        <f>IFERROR(__xludf.DUMMYFUNCTION("""COMPUTED_VALUE"""),"Barbara Fisher")</f>
        <v>Barbara Fisher</v>
      </c>
      <c r="D1111" s="26" t="str">
        <f>IFERROR(__xludf.DUMMYFUNCTION("""COMPUTED_VALUE"""),"Corporate")</f>
        <v>Corporate</v>
      </c>
      <c r="E1111" s="26" t="str">
        <f>IFERROR(__xludf.DUMMYFUNCTION("""COMPUTED_VALUE"""),"East")</f>
        <v>East</v>
      </c>
      <c r="F1111" s="26">
        <f>IFERROR(__xludf.DUMMYFUNCTION("""COMPUTED_VALUE"""),11.12)</f>
        <v>11.12</v>
      </c>
      <c r="G1111" s="26">
        <f>IFERROR(__xludf.DUMMYFUNCTION("""COMPUTED_VALUE"""),4.0)</f>
        <v>4</v>
      </c>
      <c r="H1111" s="26">
        <f>IFERROR(__xludf.DUMMYFUNCTION("""COMPUTED_VALUE"""),2.8912)</f>
        <v>2.8912</v>
      </c>
    </row>
    <row r="1112">
      <c r="A1112" s="26" t="str">
        <f>IFERROR(__xludf.DUMMYFUNCTION("""COMPUTED_VALUE"""),"CA-2015-166338")</f>
        <v>CA-2015-166338</v>
      </c>
      <c r="B1112" s="27">
        <f>IFERROR(__xludf.DUMMYFUNCTION("""COMPUTED_VALUE"""),42344.0)</f>
        <v>42344</v>
      </c>
      <c r="C1112" s="26" t="str">
        <f>IFERROR(__xludf.DUMMYFUNCTION("""COMPUTED_VALUE"""),"Mike Pelletier")</f>
        <v>Mike Pelletier</v>
      </c>
      <c r="D1112" s="26" t="str">
        <f>IFERROR(__xludf.DUMMYFUNCTION("""COMPUTED_VALUE"""),"Home Office")</f>
        <v>Home Office</v>
      </c>
      <c r="E1112" s="26" t="str">
        <f>IFERROR(__xludf.DUMMYFUNCTION("""COMPUTED_VALUE"""),"East")</f>
        <v>East</v>
      </c>
      <c r="F1112" s="26">
        <f>IFERROR(__xludf.DUMMYFUNCTION("""COMPUTED_VALUE"""),14.832)</f>
        <v>14.832</v>
      </c>
      <c r="G1112" s="26">
        <f>IFERROR(__xludf.DUMMYFUNCTION("""COMPUTED_VALUE"""),3.0)</f>
        <v>3</v>
      </c>
      <c r="H1112" s="26">
        <f>IFERROR(__xludf.DUMMYFUNCTION("""COMPUTED_VALUE"""),-10.3824)</f>
        <v>-10.3824</v>
      </c>
    </row>
    <row r="1113">
      <c r="A1113" s="26" t="str">
        <f>IFERROR(__xludf.DUMMYFUNCTION("""COMPUTED_VALUE"""),"CA-2015-140557")</f>
        <v>CA-2015-140557</v>
      </c>
      <c r="B1113" s="27">
        <f>IFERROR(__xludf.DUMMYFUNCTION("""COMPUTED_VALUE"""),42254.0)</f>
        <v>42254</v>
      </c>
      <c r="C1113" s="26" t="str">
        <f>IFERROR(__xludf.DUMMYFUNCTION("""COMPUTED_VALUE"""),"Tanja Norvell")</f>
        <v>Tanja Norvell</v>
      </c>
      <c r="D1113" s="26" t="str">
        <f>IFERROR(__xludf.DUMMYFUNCTION("""COMPUTED_VALUE"""),"Home Office")</f>
        <v>Home Office</v>
      </c>
      <c r="E1113" s="26" t="str">
        <f>IFERROR(__xludf.DUMMYFUNCTION("""COMPUTED_VALUE"""),"East")</f>
        <v>East</v>
      </c>
      <c r="F1113" s="26">
        <f>IFERROR(__xludf.DUMMYFUNCTION("""COMPUTED_VALUE"""),559.93)</f>
        <v>559.93</v>
      </c>
      <c r="G1113" s="26">
        <f>IFERROR(__xludf.DUMMYFUNCTION("""COMPUTED_VALUE"""),7.0)</f>
        <v>7</v>
      </c>
      <c r="H1113" s="26">
        <f>IFERROR(__xludf.DUMMYFUNCTION("""COMPUTED_VALUE"""),167.979)</f>
        <v>167.979</v>
      </c>
    </row>
    <row r="1114">
      <c r="A1114" s="26" t="str">
        <f>IFERROR(__xludf.DUMMYFUNCTION("""COMPUTED_VALUE"""),"CA-2015-102806")</f>
        <v>CA-2015-102806</v>
      </c>
      <c r="B1114" s="27">
        <f>IFERROR(__xludf.DUMMYFUNCTION("""COMPUTED_VALUE"""),42145.0)</f>
        <v>42145</v>
      </c>
      <c r="C1114" s="26" t="str">
        <f>IFERROR(__xludf.DUMMYFUNCTION("""COMPUTED_VALUE"""),"Henry Goldwyn")</f>
        <v>Henry Goldwyn</v>
      </c>
      <c r="D1114" s="26" t="str">
        <f>IFERROR(__xludf.DUMMYFUNCTION("""COMPUTED_VALUE"""),"Corporate")</f>
        <v>Corporate</v>
      </c>
      <c r="E1114" s="26" t="str">
        <f>IFERROR(__xludf.DUMMYFUNCTION("""COMPUTED_VALUE"""),"East")</f>
        <v>East</v>
      </c>
      <c r="F1114" s="26">
        <f>IFERROR(__xludf.DUMMYFUNCTION("""COMPUTED_VALUE"""),24.588)</f>
        <v>24.588</v>
      </c>
      <c r="G1114" s="26">
        <f>IFERROR(__xludf.DUMMYFUNCTION("""COMPUTED_VALUE"""),2.0)</f>
        <v>2</v>
      </c>
      <c r="H1114" s="26">
        <f>IFERROR(__xludf.DUMMYFUNCTION("""COMPUTED_VALUE"""),-18.0312)</f>
        <v>-18.0312</v>
      </c>
    </row>
    <row r="1115">
      <c r="A1115" s="26" t="str">
        <f>IFERROR(__xludf.DUMMYFUNCTION("""COMPUTED_VALUE"""),"CA-2015-137925")</f>
        <v>CA-2015-137925</v>
      </c>
      <c r="B1115" s="27">
        <f>IFERROR(__xludf.DUMMYFUNCTION("""COMPUTED_VALUE"""),42338.0)</f>
        <v>42338</v>
      </c>
      <c r="C1115" s="26" t="str">
        <f>IFERROR(__xludf.DUMMYFUNCTION("""COMPUTED_VALUE"""),"Janet Lee")</f>
        <v>Janet Lee</v>
      </c>
      <c r="D1115" s="26" t="str">
        <f>IFERROR(__xludf.DUMMYFUNCTION("""COMPUTED_VALUE"""),"Consumer")</f>
        <v>Consumer</v>
      </c>
      <c r="E1115" s="26" t="str">
        <f>IFERROR(__xludf.DUMMYFUNCTION("""COMPUTED_VALUE"""),"East")</f>
        <v>East</v>
      </c>
      <c r="F1115" s="26">
        <f>IFERROR(__xludf.DUMMYFUNCTION("""COMPUTED_VALUE"""),23.66)</f>
        <v>23.66</v>
      </c>
      <c r="G1115" s="26">
        <f>IFERROR(__xludf.DUMMYFUNCTION("""COMPUTED_VALUE"""),7.0)</f>
        <v>7</v>
      </c>
      <c r="H1115" s="26">
        <f>IFERROR(__xludf.DUMMYFUNCTION("""COMPUTED_VALUE"""),10.8836)</f>
        <v>10.8836</v>
      </c>
    </row>
    <row r="1116">
      <c r="A1116" s="26" t="str">
        <f>IFERROR(__xludf.DUMMYFUNCTION("""COMPUTED_VALUE"""),"CA-2015-110765")</f>
        <v>CA-2015-110765</v>
      </c>
      <c r="B1116" s="27">
        <f>IFERROR(__xludf.DUMMYFUNCTION("""COMPUTED_VALUE"""),42293.0)</f>
        <v>42293</v>
      </c>
      <c r="C1116" s="26" t="str">
        <f>IFERROR(__xludf.DUMMYFUNCTION("""COMPUTED_VALUE"""),"Michael Paige")</f>
        <v>Michael Paige</v>
      </c>
      <c r="D1116" s="26" t="str">
        <f>IFERROR(__xludf.DUMMYFUNCTION("""COMPUTED_VALUE"""),"Corporate")</f>
        <v>Corporate</v>
      </c>
      <c r="E1116" s="26" t="str">
        <f>IFERROR(__xludf.DUMMYFUNCTION("""COMPUTED_VALUE"""),"East")</f>
        <v>East</v>
      </c>
      <c r="F1116" s="26">
        <f>IFERROR(__xludf.DUMMYFUNCTION("""COMPUTED_VALUE"""),824.97)</f>
        <v>824.97</v>
      </c>
      <c r="G1116" s="26">
        <f>IFERROR(__xludf.DUMMYFUNCTION("""COMPUTED_VALUE"""),3.0)</f>
        <v>3</v>
      </c>
      <c r="H1116" s="26">
        <f>IFERROR(__xludf.DUMMYFUNCTION("""COMPUTED_VALUE"""),214.4922)</f>
        <v>214.4922</v>
      </c>
    </row>
    <row r="1117">
      <c r="A1117" s="26" t="str">
        <f>IFERROR(__xludf.DUMMYFUNCTION("""COMPUTED_VALUE"""),"CA-2015-141740")</f>
        <v>CA-2015-141740</v>
      </c>
      <c r="B1117" s="27">
        <f>IFERROR(__xludf.DUMMYFUNCTION("""COMPUTED_VALUE"""),42309.0)</f>
        <v>42309</v>
      </c>
      <c r="C1117" s="26" t="str">
        <f>IFERROR(__xludf.DUMMYFUNCTION("""COMPUTED_VALUE"""),"Jeremy Farry")</f>
        <v>Jeremy Farry</v>
      </c>
      <c r="D1117" s="26" t="str">
        <f>IFERROR(__xludf.DUMMYFUNCTION("""COMPUTED_VALUE"""),"Consumer")</f>
        <v>Consumer</v>
      </c>
      <c r="E1117" s="26" t="str">
        <f>IFERROR(__xludf.DUMMYFUNCTION("""COMPUTED_VALUE"""),"East")</f>
        <v>East</v>
      </c>
      <c r="F1117" s="26">
        <f>IFERROR(__xludf.DUMMYFUNCTION("""COMPUTED_VALUE"""),205.164)</f>
        <v>205.164</v>
      </c>
      <c r="G1117" s="26">
        <f>IFERROR(__xludf.DUMMYFUNCTION("""COMPUTED_VALUE"""),2.0)</f>
        <v>2</v>
      </c>
      <c r="H1117" s="26">
        <f>IFERROR(__xludf.DUMMYFUNCTION("""COMPUTED_VALUE"""),13.6776)</f>
        <v>13.6776</v>
      </c>
    </row>
    <row r="1118">
      <c r="A1118" s="26" t="str">
        <f>IFERROR(__xludf.DUMMYFUNCTION("""COMPUTED_VALUE"""),"CA-2015-154823")</f>
        <v>CA-2015-154823</v>
      </c>
      <c r="B1118" s="27">
        <f>IFERROR(__xludf.DUMMYFUNCTION("""COMPUTED_VALUE"""),42237.0)</f>
        <v>42237</v>
      </c>
      <c r="C1118" s="26" t="str">
        <f>IFERROR(__xludf.DUMMYFUNCTION("""COMPUTED_VALUE"""),"Katherine Nockton")</f>
        <v>Katherine Nockton</v>
      </c>
      <c r="D1118" s="26" t="str">
        <f>IFERROR(__xludf.DUMMYFUNCTION("""COMPUTED_VALUE"""),"Corporate")</f>
        <v>Corporate</v>
      </c>
      <c r="E1118" s="26" t="str">
        <f>IFERROR(__xludf.DUMMYFUNCTION("""COMPUTED_VALUE"""),"East")</f>
        <v>East</v>
      </c>
      <c r="F1118" s="26">
        <f>IFERROR(__xludf.DUMMYFUNCTION("""COMPUTED_VALUE"""),12.828)</f>
        <v>12.828</v>
      </c>
      <c r="G1118" s="26">
        <f>IFERROR(__xludf.DUMMYFUNCTION("""COMPUTED_VALUE"""),2.0)</f>
        <v>2</v>
      </c>
      <c r="H1118" s="26">
        <f>IFERROR(__xludf.DUMMYFUNCTION("""COMPUTED_VALUE"""),-8.9796)</f>
        <v>-8.9796</v>
      </c>
    </row>
    <row r="1119">
      <c r="A1119" s="26" t="str">
        <f>IFERROR(__xludf.DUMMYFUNCTION("""COMPUTED_VALUE"""),"CA-2015-124933")</f>
        <v>CA-2015-124933</v>
      </c>
      <c r="B1119" s="27">
        <f>IFERROR(__xludf.DUMMYFUNCTION("""COMPUTED_VALUE"""),42364.0)</f>
        <v>42364</v>
      </c>
      <c r="C1119" s="26" t="str">
        <f>IFERROR(__xludf.DUMMYFUNCTION("""COMPUTED_VALUE"""),"David Flashing")</f>
        <v>David Flashing</v>
      </c>
      <c r="D1119" s="26" t="str">
        <f>IFERROR(__xludf.DUMMYFUNCTION("""COMPUTED_VALUE"""),"Consumer")</f>
        <v>Consumer</v>
      </c>
      <c r="E1119" s="26" t="str">
        <f>IFERROR(__xludf.DUMMYFUNCTION("""COMPUTED_VALUE"""),"East")</f>
        <v>East</v>
      </c>
      <c r="F1119" s="26">
        <f>IFERROR(__xludf.DUMMYFUNCTION("""COMPUTED_VALUE"""),212.64)</f>
        <v>212.64</v>
      </c>
      <c r="G1119" s="26">
        <f>IFERROR(__xludf.DUMMYFUNCTION("""COMPUTED_VALUE"""),6.0)</f>
        <v>6</v>
      </c>
      <c r="H1119" s="26">
        <f>IFERROR(__xludf.DUMMYFUNCTION("""COMPUTED_VALUE"""),99.9408)</f>
        <v>99.9408</v>
      </c>
    </row>
    <row r="1120">
      <c r="A1120" s="26" t="str">
        <f>IFERROR(__xludf.DUMMYFUNCTION("""COMPUTED_VALUE"""),"CA-2015-128013")</f>
        <v>CA-2015-128013</v>
      </c>
      <c r="B1120" s="27">
        <f>IFERROR(__xludf.DUMMYFUNCTION("""COMPUTED_VALUE"""),42225.0)</f>
        <v>42225</v>
      </c>
      <c r="C1120" s="26" t="str">
        <f>IFERROR(__xludf.DUMMYFUNCTION("""COMPUTED_VALUE"""),"Monica Federle")</f>
        <v>Monica Federle</v>
      </c>
      <c r="D1120" s="26" t="str">
        <f>IFERROR(__xludf.DUMMYFUNCTION("""COMPUTED_VALUE"""),"Corporate")</f>
        <v>Corporate</v>
      </c>
      <c r="E1120" s="26" t="str">
        <f>IFERROR(__xludf.DUMMYFUNCTION("""COMPUTED_VALUE"""),"East")</f>
        <v>East</v>
      </c>
      <c r="F1120" s="26">
        <f>IFERROR(__xludf.DUMMYFUNCTION("""COMPUTED_VALUE"""),10.02)</f>
        <v>10.02</v>
      </c>
      <c r="G1120" s="26">
        <f>IFERROR(__xludf.DUMMYFUNCTION("""COMPUTED_VALUE"""),3.0)</f>
        <v>3</v>
      </c>
      <c r="H1120" s="26">
        <f>IFERROR(__xludf.DUMMYFUNCTION("""COMPUTED_VALUE"""),4.4088)</f>
        <v>4.4088</v>
      </c>
    </row>
    <row r="1121">
      <c r="A1121" s="26" t="str">
        <f>IFERROR(__xludf.DUMMYFUNCTION("""COMPUTED_VALUE"""),"US-2015-156797")</f>
        <v>US-2015-156797</v>
      </c>
      <c r="B1121" s="27">
        <f>IFERROR(__xludf.DUMMYFUNCTION("""COMPUTED_VALUE"""),42227.0)</f>
        <v>42227</v>
      </c>
      <c r="C1121" s="26" t="str">
        <f>IFERROR(__xludf.DUMMYFUNCTION("""COMPUTED_VALUE"""),"Philisse Overcash")</f>
        <v>Philisse Overcash</v>
      </c>
      <c r="D1121" s="26" t="str">
        <f>IFERROR(__xludf.DUMMYFUNCTION("""COMPUTED_VALUE"""),"Home Office")</f>
        <v>Home Office</v>
      </c>
      <c r="E1121" s="26" t="str">
        <f>IFERROR(__xludf.DUMMYFUNCTION("""COMPUTED_VALUE"""),"East")</f>
        <v>East</v>
      </c>
      <c r="F1121" s="26">
        <f>IFERROR(__xludf.DUMMYFUNCTION("""COMPUTED_VALUE"""),11.96)</f>
        <v>11.96</v>
      </c>
      <c r="G1121" s="26">
        <f>IFERROR(__xludf.DUMMYFUNCTION("""COMPUTED_VALUE"""),2.0)</f>
        <v>2</v>
      </c>
      <c r="H1121" s="26">
        <f>IFERROR(__xludf.DUMMYFUNCTION("""COMPUTED_VALUE"""),3.1096)</f>
        <v>3.1096</v>
      </c>
    </row>
    <row r="1122">
      <c r="A1122" s="26" t="str">
        <f>IFERROR(__xludf.DUMMYFUNCTION("""COMPUTED_VALUE"""),"CA-2015-136658")</f>
        <v>CA-2015-136658</v>
      </c>
      <c r="B1122" s="27">
        <f>IFERROR(__xludf.DUMMYFUNCTION("""COMPUTED_VALUE"""),42257.0)</f>
        <v>42257</v>
      </c>
      <c r="C1122" s="26" t="str">
        <f>IFERROR(__xludf.DUMMYFUNCTION("""COMPUTED_VALUE"""),"Bobby Odegard")</f>
        <v>Bobby Odegard</v>
      </c>
      <c r="D1122" s="26" t="str">
        <f>IFERROR(__xludf.DUMMYFUNCTION("""COMPUTED_VALUE"""),"Consumer")</f>
        <v>Consumer</v>
      </c>
      <c r="E1122" s="26" t="str">
        <f>IFERROR(__xludf.DUMMYFUNCTION("""COMPUTED_VALUE"""),"East")</f>
        <v>East</v>
      </c>
      <c r="F1122" s="26">
        <f>IFERROR(__xludf.DUMMYFUNCTION("""COMPUTED_VALUE"""),6.08)</f>
        <v>6.08</v>
      </c>
      <c r="G1122" s="26">
        <f>IFERROR(__xludf.DUMMYFUNCTION("""COMPUTED_VALUE"""),2.0)</f>
        <v>2</v>
      </c>
      <c r="H1122" s="26">
        <f>IFERROR(__xludf.DUMMYFUNCTION("""COMPUTED_VALUE"""),2.0672)</f>
        <v>2.0672</v>
      </c>
    </row>
    <row r="1123">
      <c r="A1123" s="26" t="str">
        <f>IFERROR(__xludf.DUMMYFUNCTION("""COMPUTED_VALUE"""),"CA-2015-162782")</f>
        <v>CA-2015-162782</v>
      </c>
      <c r="B1123" s="27">
        <f>IFERROR(__xludf.DUMMYFUNCTION("""COMPUTED_VALUE"""),42056.0)</f>
        <v>42056</v>
      </c>
      <c r="C1123" s="26" t="str">
        <f>IFERROR(__xludf.DUMMYFUNCTION("""COMPUTED_VALUE"""),"Pierre Wener")</f>
        <v>Pierre Wener</v>
      </c>
      <c r="D1123" s="26" t="str">
        <f>IFERROR(__xludf.DUMMYFUNCTION("""COMPUTED_VALUE"""),"Consumer")</f>
        <v>Consumer</v>
      </c>
      <c r="E1123" s="26" t="str">
        <f>IFERROR(__xludf.DUMMYFUNCTION("""COMPUTED_VALUE"""),"East")</f>
        <v>East</v>
      </c>
      <c r="F1123" s="26">
        <f>IFERROR(__xludf.DUMMYFUNCTION("""COMPUTED_VALUE"""),2541.98)</f>
        <v>2541.98</v>
      </c>
      <c r="G1123" s="26">
        <f>IFERROR(__xludf.DUMMYFUNCTION("""COMPUTED_VALUE"""),2.0)</f>
        <v>2</v>
      </c>
      <c r="H1123" s="26">
        <f>IFERROR(__xludf.DUMMYFUNCTION("""COMPUTED_VALUE"""),1270.99)</f>
        <v>1270.99</v>
      </c>
    </row>
    <row r="1124">
      <c r="A1124" s="26" t="str">
        <f>IFERROR(__xludf.DUMMYFUNCTION("""COMPUTED_VALUE"""),"CA-2015-101126")</f>
        <v>CA-2015-101126</v>
      </c>
      <c r="B1124" s="27">
        <f>IFERROR(__xludf.DUMMYFUNCTION("""COMPUTED_VALUE"""),42045.0)</f>
        <v>42045</v>
      </c>
      <c r="C1124" s="26" t="str">
        <f>IFERROR(__xludf.DUMMYFUNCTION("""COMPUTED_VALUE"""),"Nona Balk")</f>
        <v>Nona Balk</v>
      </c>
      <c r="D1124" s="26" t="str">
        <f>IFERROR(__xludf.DUMMYFUNCTION("""COMPUTED_VALUE"""),"Corporate")</f>
        <v>Corporate</v>
      </c>
      <c r="E1124" s="26" t="str">
        <f>IFERROR(__xludf.DUMMYFUNCTION("""COMPUTED_VALUE"""),"East")</f>
        <v>East</v>
      </c>
      <c r="F1124" s="26">
        <f>IFERROR(__xludf.DUMMYFUNCTION("""COMPUTED_VALUE"""),77.24)</f>
        <v>77.24</v>
      </c>
      <c r="G1124" s="26">
        <f>IFERROR(__xludf.DUMMYFUNCTION("""COMPUTED_VALUE"""),5.0)</f>
        <v>5</v>
      </c>
      <c r="H1124" s="26">
        <f>IFERROR(__xludf.DUMMYFUNCTION("""COMPUTED_VALUE"""),7.724)</f>
        <v>7.724</v>
      </c>
    </row>
    <row r="1125">
      <c r="A1125" s="26" t="str">
        <f>IFERROR(__xludf.DUMMYFUNCTION("""COMPUTED_VALUE"""),"CA-2015-113152")</f>
        <v>CA-2015-113152</v>
      </c>
      <c r="B1125" s="27">
        <f>IFERROR(__xludf.DUMMYFUNCTION("""COMPUTED_VALUE"""),42363.0)</f>
        <v>42363</v>
      </c>
      <c r="C1125" s="26" t="str">
        <f>IFERROR(__xludf.DUMMYFUNCTION("""COMPUTED_VALUE"""),"Jim Karlsson")</f>
        <v>Jim Karlsson</v>
      </c>
      <c r="D1125" s="26" t="str">
        <f>IFERROR(__xludf.DUMMYFUNCTION("""COMPUTED_VALUE"""),"Consumer")</f>
        <v>Consumer</v>
      </c>
      <c r="E1125" s="26" t="str">
        <f>IFERROR(__xludf.DUMMYFUNCTION("""COMPUTED_VALUE"""),"East")</f>
        <v>East</v>
      </c>
      <c r="F1125" s="26">
        <f>IFERROR(__xludf.DUMMYFUNCTION("""COMPUTED_VALUE"""),843.9)</f>
        <v>843.9</v>
      </c>
      <c r="G1125" s="26">
        <f>IFERROR(__xludf.DUMMYFUNCTION("""COMPUTED_VALUE"""),2.0)</f>
        <v>2</v>
      </c>
      <c r="H1125" s="26">
        <f>IFERROR(__xludf.DUMMYFUNCTION("""COMPUTED_VALUE"""),371.316)</f>
        <v>371.316</v>
      </c>
    </row>
    <row r="1126">
      <c r="A1126" s="26" t="str">
        <f>IFERROR(__xludf.DUMMYFUNCTION("""COMPUTED_VALUE"""),"CA-2015-159590")</f>
        <v>CA-2015-159590</v>
      </c>
      <c r="B1126" s="27">
        <f>IFERROR(__xludf.DUMMYFUNCTION("""COMPUTED_VALUE"""),42203.0)</f>
        <v>42203</v>
      </c>
      <c r="C1126" s="26" t="str">
        <f>IFERROR(__xludf.DUMMYFUNCTION("""COMPUTED_VALUE"""),"Karen Carlisle")</f>
        <v>Karen Carlisle</v>
      </c>
      <c r="D1126" s="26" t="str">
        <f>IFERROR(__xludf.DUMMYFUNCTION("""COMPUTED_VALUE"""),"Corporate")</f>
        <v>Corporate</v>
      </c>
      <c r="E1126" s="26" t="str">
        <f>IFERROR(__xludf.DUMMYFUNCTION("""COMPUTED_VALUE"""),"East")</f>
        <v>East</v>
      </c>
      <c r="F1126" s="26">
        <f>IFERROR(__xludf.DUMMYFUNCTION("""COMPUTED_VALUE"""),5.76)</f>
        <v>5.76</v>
      </c>
      <c r="G1126" s="26">
        <f>IFERROR(__xludf.DUMMYFUNCTION("""COMPUTED_VALUE"""),2.0)</f>
        <v>2</v>
      </c>
      <c r="H1126" s="26">
        <f>IFERROR(__xludf.DUMMYFUNCTION("""COMPUTED_VALUE"""),1.6128)</f>
        <v>1.6128</v>
      </c>
    </row>
    <row r="1127">
      <c r="A1127" s="26" t="str">
        <f>IFERROR(__xludf.DUMMYFUNCTION("""COMPUTED_VALUE"""),"CA-2015-100734")</f>
        <v>CA-2015-100734</v>
      </c>
      <c r="B1127" s="27">
        <f>IFERROR(__xludf.DUMMYFUNCTION("""COMPUTED_VALUE"""),42262.0)</f>
        <v>42262</v>
      </c>
      <c r="C1127" s="26" t="str">
        <f>IFERROR(__xludf.DUMMYFUNCTION("""COMPUTED_VALUE"""),"Ann Chong")</f>
        <v>Ann Chong</v>
      </c>
      <c r="D1127" s="26" t="str">
        <f>IFERROR(__xludf.DUMMYFUNCTION("""COMPUTED_VALUE"""),"Corporate")</f>
        <v>Corporate</v>
      </c>
      <c r="E1127" s="26" t="str">
        <f>IFERROR(__xludf.DUMMYFUNCTION("""COMPUTED_VALUE"""),"East")</f>
        <v>East</v>
      </c>
      <c r="F1127" s="26">
        <f>IFERROR(__xludf.DUMMYFUNCTION("""COMPUTED_VALUE"""),3.576)</f>
        <v>3.576</v>
      </c>
      <c r="G1127" s="26">
        <f>IFERROR(__xludf.DUMMYFUNCTION("""COMPUTED_VALUE"""),4.0)</f>
        <v>4</v>
      </c>
      <c r="H1127" s="26">
        <f>IFERROR(__xludf.DUMMYFUNCTION("""COMPUTED_VALUE"""),-2.8608)</f>
        <v>-2.8608</v>
      </c>
    </row>
    <row r="1128">
      <c r="A1128" s="26" t="str">
        <f>IFERROR(__xludf.DUMMYFUNCTION("""COMPUTED_VALUE"""),"US-2015-134558")</f>
        <v>US-2015-134558</v>
      </c>
      <c r="B1128" s="27">
        <f>IFERROR(__xludf.DUMMYFUNCTION("""COMPUTED_VALUE"""),42357.0)</f>
        <v>42357</v>
      </c>
      <c r="C1128" s="26" t="str">
        <f>IFERROR(__xludf.DUMMYFUNCTION("""COMPUTED_VALUE"""),"Peter McVee")</f>
        <v>Peter McVee</v>
      </c>
      <c r="D1128" s="26" t="str">
        <f>IFERROR(__xludf.DUMMYFUNCTION("""COMPUTED_VALUE"""),"Home Office")</f>
        <v>Home Office</v>
      </c>
      <c r="E1128" s="26" t="str">
        <f>IFERROR(__xludf.DUMMYFUNCTION("""COMPUTED_VALUE"""),"East")</f>
        <v>East</v>
      </c>
      <c r="F1128" s="26">
        <f>IFERROR(__xludf.DUMMYFUNCTION("""COMPUTED_VALUE"""),29.9)</f>
        <v>29.9</v>
      </c>
      <c r="G1128" s="26">
        <f>IFERROR(__xludf.DUMMYFUNCTION("""COMPUTED_VALUE"""),5.0)</f>
        <v>5</v>
      </c>
      <c r="H1128" s="26">
        <f>IFERROR(__xludf.DUMMYFUNCTION("""COMPUTED_VALUE"""),14.651)</f>
        <v>14.651</v>
      </c>
    </row>
    <row r="1129">
      <c r="A1129" s="26" t="str">
        <f>IFERROR(__xludf.DUMMYFUNCTION("""COMPUTED_VALUE"""),"CA-2015-123113")</f>
        <v>CA-2015-123113</v>
      </c>
      <c r="B1129" s="27">
        <f>IFERROR(__xludf.DUMMYFUNCTION("""COMPUTED_VALUE"""),42331.0)</f>
        <v>42331</v>
      </c>
      <c r="C1129" s="26" t="str">
        <f>IFERROR(__xludf.DUMMYFUNCTION("""COMPUTED_VALUE"""),"Annie Thurman")</f>
        <v>Annie Thurman</v>
      </c>
      <c r="D1129" s="26" t="str">
        <f>IFERROR(__xludf.DUMMYFUNCTION("""COMPUTED_VALUE"""),"Consumer")</f>
        <v>Consumer</v>
      </c>
      <c r="E1129" s="26" t="str">
        <f>IFERROR(__xludf.DUMMYFUNCTION("""COMPUTED_VALUE"""),"East")</f>
        <v>East</v>
      </c>
      <c r="F1129" s="26">
        <f>IFERROR(__xludf.DUMMYFUNCTION("""COMPUTED_VALUE"""),2625.12)</f>
        <v>2625.12</v>
      </c>
      <c r="G1129" s="26">
        <f>IFERROR(__xludf.DUMMYFUNCTION("""COMPUTED_VALUE"""),8.0)</f>
        <v>8</v>
      </c>
      <c r="H1129" s="26">
        <f>IFERROR(__xludf.DUMMYFUNCTION("""COMPUTED_VALUE"""),735.0336)</f>
        <v>735.0336</v>
      </c>
    </row>
    <row r="1130">
      <c r="A1130" s="26" t="str">
        <f>IFERROR(__xludf.DUMMYFUNCTION("""COMPUTED_VALUE"""),"CA-2015-169656")</f>
        <v>CA-2015-169656</v>
      </c>
      <c r="B1130" s="27">
        <f>IFERROR(__xludf.DUMMYFUNCTION("""COMPUTED_VALUE"""),42229.0)</f>
        <v>42229</v>
      </c>
      <c r="C1130" s="26" t="str">
        <f>IFERROR(__xludf.DUMMYFUNCTION("""COMPUTED_VALUE"""),"Ed Jacobs")</f>
        <v>Ed Jacobs</v>
      </c>
      <c r="D1130" s="26" t="str">
        <f>IFERROR(__xludf.DUMMYFUNCTION("""COMPUTED_VALUE"""),"Consumer")</f>
        <v>Consumer</v>
      </c>
      <c r="E1130" s="26" t="str">
        <f>IFERROR(__xludf.DUMMYFUNCTION("""COMPUTED_VALUE"""),"East")</f>
        <v>East</v>
      </c>
      <c r="F1130" s="26">
        <f>IFERROR(__xludf.DUMMYFUNCTION("""COMPUTED_VALUE"""),422.856)</f>
        <v>422.856</v>
      </c>
      <c r="G1130" s="26">
        <f>IFERROR(__xludf.DUMMYFUNCTION("""COMPUTED_VALUE"""),3.0)</f>
        <v>3</v>
      </c>
      <c r="H1130" s="26">
        <f>IFERROR(__xludf.DUMMYFUNCTION("""COMPUTED_VALUE"""),15.8571)</f>
        <v>15.8571</v>
      </c>
    </row>
    <row r="1131">
      <c r="A1131" s="26" t="str">
        <f>IFERROR(__xludf.DUMMYFUNCTION("""COMPUTED_VALUE"""),"CA-2015-142734")</f>
        <v>CA-2015-142734</v>
      </c>
      <c r="B1131" s="27">
        <f>IFERROR(__xludf.DUMMYFUNCTION("""COMPUTED_VALUE"""),42110.0)</f>
        <v>42110</v>
      </c>
      <c r="C1131" s="26" t="str">
        <f>IFERROR(__xludf.DUMMYFUNCTION("""COMPUTED_VALUE"""),"Denise Monton")</f>
        <v>Denise Monton</v>
      </c>
      <c r="D1131" s="26" t="str">
        <f>IFERROR(__xludf.DUMMYFUNCTION("""COMPUTED_VALUE"""),"Corporate")</f>
        <v>Corporate</v>
      </c>
      <c r="E1131" s="26" t="str">
        <f>IFERROR(__xludf.DUMMYFUNCTION("""COMPUTED_VALUE"""),"East")</f>
        <v>East</v>
      </c>
      <c r="F1131" s="26">
        <f>IFERROR(__xludf.DUMMYFUNCTION("""COMPUTED_VALUE"""),127.764)</f>
        <v>127.764</v>
      </c>
      <c r="G1131" s="26">
        <f>IFERROR(__xludf.DUMMYFUNCTION("""COMPUTED_VALUE"""),2.0)</f>
        <v>2</v>
      </c>
      <c r="H1131" s="26">
        <f>IFERROR(__xludf.DUMMYFUNCTION("""COMPUTED_VALUE"""),2.8392)</f>
        <v>2.8392</v>
      </c>
    </row>
    <row r="1132">
      <c r="A1132" s="26" t="str">
        <f>IFERROR(__xludf.DUMMYFUNCTION("""COMPUTED_VALUE"""),"CA-2015-113740")</f>
        <v>CA-2015-113740</v>
      </c>
      <c r="B1132" s="27">
        <f>IFERROR(__xludf.DUMMYFUNCTION("""COMPUTED_VALUE"""),42240.0)</f>
        <v>42240</v>
      </c>
      <c r="C1132" s="26" t="str">
        <f>IFERROR(__xludf.DUMMYFUNCTION("""COMPUTED_VALUE"""),"Shahid Collister")</f>
        <v>Shahid Collister</v>
      </c>
      <c r="D1132" s="26" t="str">
        <f>IFERROR(__xludf.DUMMYFUNCTION("""COMPUTED_VALUE"""),"Consumer")</f>
        <v>Consumer</v>
      </c>
      <c r="E1132" s="26" t="str">
        <f>IFERROR(__xludf.DUMMYFUNCTION("""COMPUTED_VALUE"""),"East")</f>
        <v>East</v>
      </c>
      <c r="F1132" s="26">
        <f>IFERROR(__xludf.DUMMYFUNCTION("""COMPUTED_VALUE"""),14.91)</f>
        <v>14.91</v>
      </c>
      <c r="G1132" s="26">
        <f>IFERROR(__xludf.DUMMYFUNCTION("""COMPUTED_VALUE"""),3.0)</f>
        <v>3</v>
      </c>
      <c r="H1132" s="26">
        <f>IFERROR(__xludf.DUMMYFUNCTION("""COMPUTED_VALUE"""),4.6221)</f>
        <v>4.6221</v>
      </c>
    </row>
    <row r="1133">
      <c r="A1133" s="26" t="str">
        <f>IFERROR(__xludf.DUMMYFUNCTION("""COMPUTED_VALUE"""),"CA-2015-101889")</f>
        <v>CA-2015-101889</v>
      </c>
      <c r="B1133" s="27">
        <f>IFERROR(__xludf.DUMMYFUNCTION("""COMPUTED_VALUE"""),42365.0)</f>
        <v>42365</v>
      </c>
      <c r="C1133" s="26" t="str">
        <f>IFERROR(__xludf.DUMMYFUNCTION("""COMPUTED_VALUE"""),"David Bremer")</f>
        <v>David Bremer</v>
      </c>
      <c r="D1133" s="26" t="str">
        <f>IFERROR(__xludf.DUMMYFUNCTION("""COMPUTED_VALUE"""),"Corporate")</f>
        <v>Corporate</v>
      </c>
      <c r="E1133" s="26" t="str">
        <f>IFERROR(__xludf.DUMMYFUNCTION("""COMPUTED_VALUE"""),"East")</f>
        <v>East</v>
      </c>
      <c r="F1133" s="26">
        <f>IFERROR(__xludf.DUMMYFUNCTION("""COMPUTED_VALUE"""),1548.99)</f>
        <v>1548.99</v>
      </c>
      <c r="G1133" s="26">
        <f>IFERROR(__xludf.DUMMYFUNCTION("""COMPUTED_VALUE"""),9.0)</f>
        <v>9</v>
      </c>
      <c r="H1133" s="26">
        <f>IFERROR(__xludf.DUMMYFUNCTION("""COMPUTED_VALUE"""),-464.697)</f>
        <v>-464.697</v>
      </c>
    </row>
    <row r="1134">
      <c r="A1134" s="26" t="str">
        <f>IFERROR(__xludf.DUMMYFUNCTION("""COMPUTED_VALUE"""),"CA-2015-130974")</f>
        <v>CA-2015-130974</v>
      </c>
      <c r="B1134" s="27">
        <f>IFERROR(__xludf.DUMMYFUNCTION("""COMPUTED_VALUE"""),42335.0)</f>
        <v>42335</v>
      </c>
      <c r="C1134" s="26" t="str">
        <f>IFERROR(__xludf.DUMMYFUNCTION("""COMPUTED_VALUE"""),"Matt Abelman")</f>
        <v>Matt Abelman</v>
      </c>
      <c r="D1134" s="26" t="str">
        <f>IFERROR(__xludf.DUMMYFUNCTION("""COMPUTED_VALUE"""),"Home Office")</f>
        <v>Home Office</v>
      </c>
      <c r="E1134" s="26" t="str">
        <f>IFERROR(__xludf.DUMMYFUNCTION("""COMPUTED_VALUE"""),"East")</f>
        <v>East</v>
      </c>
      <c r="F1134" s="26">
        <f>IFERROR(__xludf.DUMMYFUNCTION("""COMPUTED_VALUE"""),40.08)</f>
        <v>40.08</v>
      </c>
      <c r="G1134" s="26">
        <f>IFERROR(__xludf.DUMMYFUNCTION("""COMPUTED_VALUE"""),6.0)</f>
        <v>6</v>
      </c>
      <c r="H1134" s="26">
        <f>IFERROR(__xludf.DUMMYFUNCTION("""COMPUTED_VALUE"""),19.2384)</f>
        <v>19.2384</v>
      </c>
    </row>
    <row r="1135">
      <c r="A1135" s="26" t="str">
        <f>IFERROR(__xludf.DUMMYFUNCTION("""COMPUTED_VALUE"""),"CA-2015-116876")</f>
        <v>CA-2015-116876</v>
      </c>
      <c r="B1135" s="27">
        <f>IFERROR(__xludf.DUMMYFUNCTION("""COMPUTED_VALUE"""),42049.0)</f>
        <v>42049</v>
      </c>
      <c r="C1135" s="26" t="str">
        <f>IFERROR(__xludf.DUMMYFUNCTION("""COMPUTED_VALUE"""),"Ted Trevino")</f>
        <v>Ted Trevino</v>
      </c>
      <c r="D1135" s="26" t="str">
        <f>IFERROR(__xludf.DUMMYFUNCTION("""COMPUTED_VALUE"""),"Consumer")</f>
        <v>Consumer</v>
      </c>
      <c r="E1135" s="26" t="str">
        <f>IFERROR(__xludf.DUMMYFUNCTION("""COMPUTED_VALUE"""),"East")</f>
        <v>East</v>
      </c>
      <c r="F1135" s="26">
        <f>IFERROR(__xludf.DUMMYFUNCTION("""COMPUTED_VALUE"""),26.424)</f>
        <v>26.424</v>
      </c>
      <c r="G1135" s="26">
        <f>IFERROR(__xludf.DUMMYFUNCTION("""COMPUTED_VALUE"""),9.0)</f>
        <v>9</v>
      </c>
      <c r="H1135" s="26">
        <f>IFERROR(__xludf.DUMMYFUNCTION("""COMPUTED_VALUE"""),9.5787)</f>
        <v>9.5787</v>
      </c>
    </row>
    <row r="1136">
      <c r="A1136" s="26" t="str">
        <f>IFERROR(__xludf.DUMMYFUNCTION("""COMPUTED_VALUE"""),"CA-2015-108588")</f>
        <v>CA-2015-108588</v>
      </c>
      <c r="B1136" s="27">
        <f>IFERROR(__xludf.DUMMYFUNCTION("""COMPUTED_VALUE"""),42009.0)</f>
        <v>42009</v>
      </c>
      <c r="C1136" s="26" t="str">
        <f>IFERROR(__xludf.DUMMYFUNCTION("""COMPUTED_VALUE"""),"Brooke Gillingham")</f>
        <v>Brooke Gillingham</v>
      </c>
      <c r="D1136" s="26" t="str">
        <f>IFERROR(__xludf.DUMMYFUNCTION("""COMPUTED_VALUE"""),"Corporate")</f>
        <v>Corporate</v>
      </c>
      <c r="E1136" s="26" t="str">
        <f>IFERROR(__xludf.DUMMYFUNCTION("""COMPUTED_VALUE"""),"East")</f>
        <v>East</v>
      </c>
      <c r="F1136" s="26">
        <f>IFERROR(__xludf.DUMMYFUNCTION("""COMPUTED_VALUE"""),59.52)</f>
        <v>59.52</v>
      </c>
      <c r="G1136" s="26">
        <f>IFERROR(__xludf.DUMMYFUNCTION("""COMPUTED_VALUE"""),3.0)</f>
        <v>3</v>
      </c>
      <c r="H1136" s="26">
        <f>IFERROR(__xludf.DUMMYFUNCTION("""COMPUTED_VALUE"""),15.4752)</f>
        <v>15.4752</v>
      </c>
    </row>
    <row r="1137">
      <c r="A1137" s="26" t="str">
        <f>IFERROR(__xludf.DUMMYFUNCTION("""COMPUTED_VALUE"""),"US-2015-150231")</f>
        <v>US-2015-150231</v>
      </c>
      <c r="B1137" s="27">
        <f>IFERROR(__xludf.DUMMYFUNCTION("""COMPUTED_VALUE"""),42079.0)</f>
        <v>42079</v>
      </c>
      <c r="C1137" s="26" t="str">
        <f>IFERROR(__xludf.DUMMYFUNCTION("""COMPUTED_VALUE"""),"Jim Kriz")</f>
        <v>Jim Kriz</v>
      </c>
      <c r="D1137" s="26" t="str">
        <f>IFERROR(__xludf.DUMMYFUNCTION("""COMPUTED_VALUE"""),"Home Office")</f>
        <v>Home Office</v>
      </c>
      <c r="E1137" s="26" t="str">
        <f>IFERROR(__xludf.DUMMYFUNCTION("""COMPUTED_VALUE"""),"East")</f>
        <v>East</v>
      </c>
      <c r="F1137" s="26">
        <f>IFERROR(__xludf.DUMMYFUNCTION("""COMPUTED_VALUE"""),17.52)</f>
        <v>17.52</v>
      </c>
      <c r="G1137" s="26">
        <f>IFERROR(__xludf.DUMMYFUNCTION("""COMPUTED_VALUE"""),3.0)</f>
        <v>3</v>
      </c>
      <c r="H1137" s="26">
        <f>IFERROR(__xludf.DUMMYFUNCTION("""COMPUTED_VALUE"""),6.3072)</f>
        <v>6.3072</v>
      </c>
    </row>
    <row r="1138">
      <c r="A1138" s="26" t="str">
        <f>IFERROR(__xludf.DUMMYFUNCTION("""COMPUTED_VALUE"""),"CA-2015-156153")</f>
        <v>CA-2015-156153</v>
      </c>
      <c r="B1138" s="27">
        <f>IFERROR(__xludf.DUMMYFUNCTION("""COMPUTED_VALUE"""),42155.0)</f>
        <v>42155</v>
      </c>
      <c r="C1138" s="26" t="str">
        <f>IFERROR(__xludf.DUMMYFUNCTION("""COMPUTED_VALUE"""),"Carl Weiss")</f>
        <v>Carl Weiss</v>
      </c>
      <c r="D1138" s="26" t="str">
        <f>IFERROR(__xludf.DUMMYFUNCTION("""COMPUTED_VALUE"""),"Home Office")</f>
        <v>Home Office</v>
      </c>
      <c r="E1138" s="26" t="str">
        <f>IFERROR(__xludf.DUMMYFUNCTION("""COMPUTED_VALUE"""),"East")</f>
        <v>East</v>
      </c>
      <c r="F1138" s="26">
        <f>IFERROR(__xludf.DUMMYFUNCTION("""COMPUTED_VALUE"""),7.56)</f>
        <v>7.56</v>
      </c>
      <c r="G1138" s="26">
        <f>IFERROR(__xludf.DUMMYFUNCTION("""COMPUTED_VALUE"""),6.0)</f>
        <v>6</v>
      </c>
      <c r="H1138" s="26">
        <f>IFERROR(__xludf.DUMMYFUNCTION("""COMPUTED_VALUE"""),0.3024)</f>
        <v>0.3024</v>
      </c>
    </row>
    <row r="1139">
      <c r="A1139" s="26" t="str">
        <f>IFERROR(__xludf.DUMMYFUNCTION("""COMPUTED_VALUE"""),"CA-2015-161795")</f>
        <v>CA-2015-161795</v>
      </c>
      <c r="B1139" s="27">
        <f>IFERROR(__xludf.DUMMYFUNCTION("""COMPUTED_VALUE"""),42359.0)</f>
        <v>42359</v>
      </c>
      <c r="C1139" s="26" t="str">
        <f>IFERROR(__xludf.DUMMYFUNCTION("""COMPUTED_VALUE"""),"Adam Hart")</f>
        <v>Adam Hart</v>
      </c>
      <c r="D1139" s="26" t="str">
        <f>IFERROR(__xludf.DUMMYFUNCTION("""COMPUTED_VALUE"""),"Corporate")</f>
        <v>Corporate</v>
      </c>
      <c r="E1139" s="26" t="str">
        <f>IFERROR(__xludf.DUMMYFUNCTION("""COMPUTED_VALUE"""),"East")</f>
        <v>East</v>
      </c>
      <c r="F1139" s="26">
        <f>IFERROR(__xludf.DUMMYFUNCTION("""COMPUTED_VALUE"""),3.008)</f>
        <v>3.008</v>
      </c>
      <c r="G1139" s="26">
        <f>IFERROR(__xludf.DUMMYFUNCTION("""COMPUTED_VALUE"""),2.0)</f>
        <v>2</v>
      </c>
      <c r="H1139" s="26">
        <f>IFERROR(__xludf.DUMMYFUNCTION("""COMPUTED_VALUE"""),0.3384)</f>
        <v>0.3384</v>
      </c>
    </row>
    <row r="1140">
      <c r="A1140" s="26" t="str">
        <f>IFERROR(__xludf.DUMMYFUNCTION("""COMPUTED_VALUE"""),"US-2015-145121")</f>
        <v>US-2015-145121</v>
      </c>
      <c r="B1140" s="27">
        <f>IFERROR(__xludf.DUMMYFUNCTION("""COMPUTED_VALUE"""),42279.0)</f>
        <v>42279</v>
      </c>
      <c r="C1140" s="26" t="str">
        <f>IFERROR(__xludf.DUMMYFUNCTION("""COMPUTED_VALUE"""),"Michael Paige")</f>
        <v>Michael Paige</v>
      </c>
      <c r="D1140" s="26" t="str">
        <f>IFERROR(__xludf.DUMMYFUNCTION("""COMPUTED_VALUE"""),"Corporate")</f>
        <v>Corporate</v>
      </c>
      <c r="E1140" s="26" t="str">
        <f>IFERROR(__xludf.DUMMYFUNCTION("""COMPUTED_VALUE"""),"East")</f>
        <v>East</v>
      </c>
      <c r="F1140" s="26">
        <f>IFERROR(__xludf.DUMMYFUNCTION("""COMPUTED_VALUE"""),26.9)</f>
        <v>26.9</v>
      </c>
      <c r="G1140" s="26">
        <f>IFERROR(__xludf.DUMMYFUNCTION("""COMPUTED_VALUE"""),5.0)</f>
        <v>5</v>
      </c>
      <c r="H1140" s="26">
        <f>IFERROR(__xludf.DUMMYFUNCTION("""COMPUTED_VALUE"""),13.181)</f>
        <v>13.181</v>
      </c>
    </row>
    <row r="1141">
      <c r="A1141" s="26" t="str">
        <f>IFERROR(__xludf.DUMMYFUNCTION("""COMPUTED_VALUE"""),"CA-2015-127327")</f>
        <v>CA-2015-127327</v>
      </c>
      <c r="B1141" s="27">
        <f>IFERROR(__xludf.DUMMYFUNCTION("""COMPUTED_VALUE"""),42038.0)</f>
        <v>42038</v>
      </c>
      <c r="C1141" s="26" t="str">
        <f>IFERROR(__xludf.DUMMYFUNCTION("""COMPUTED_VALUE"""),"Pauline Webber")</f>
        <v>Pauline Webber</v>
      </c>
      <c r="D1141" s="26" t="str">
        <f>IFERROR(__xludf.DUMMYFUNCTION("""COMPUTED_VALUE"""),"Corporate")</f>
        <v>Corporate</v>
      </c>
      <c r="E1141" s="26" t="str">
        <f>IFERROR(__xludf.DUMMYFUNCTION("""COMPUTED_VALUE"""),"East")</f>
        <v>East</v>
      </c>
      <c r="F1141" s="26">
        <f>IFERROR(__xludf.DUMMYFUNCTION("""COMPUTED_VALUE"""),90.882)</f>
        <v>90.882</v>
      </c>
      <c r="G1141" s="26">
        <f>IFERROR(__xludf.DUMMYFUNCTION("""COMPUTED_VALUE"""),1.0)</f>
        <v>1</v>
      </c>
      <c r="H1141" s="26">
        <f>IFERROR(__xludf.DUMMYFUNCTION("""COMPUTED_VALUE"""),15.147)</f>
        <v>15.147</v>
      </c>
    </row>
    <row r="1142">
      <c r="A1142" s="26" t="str">
        <f>IFERROR(__xludf.DUMMYFUNCTION("""COMPUTED_VALUE"""),"CA-2015-110891")</f>
        <v>CA-2015-110891</v>
      </c>
      <c r="B1142" s="27">
        <f>IFERROR(__xludf.DUMMYFUNCTION("""COMPUTED_VALUE"""),42328.0)</f>
        <v>42328</v>
      </c>
      <c r="C1142" s="26" t="str">
        <f>IFERROR(__xludf.DUMMYFUNCTION("""COMPUTED_VALUE"""),"Phillina Ober")</f>
        <v>Phillina Ober</v>
      </c>
      <c r="D1142" s="26" t="str">
        <f>IFERROR(__xludf.DUMMYFUNCTION("""COMPUTED_VALUE"""),"Home Office")</f>
        <v>Home Office</v>
      </c>
      <c r="E1142" s="26" t="str">
        <f>IFERROR(__xludf.DUMMYFUNCTION("""COMPUTED_VALUE"""),"East")</f>
        <v>East</v>
      </c>
      <c r="F1142" s="26">
        <f>IFERROR(__xludf.DUMMYFUNCTION("""COMPUTED_VALUE"""),344.372)</f>
        <v>344.372</v>
      </c>
      <c r="G1142" s="26">
        <f>IFERROR(__xludf.DUMMYFUNCTION("""COMPUTED_VALUE"""),4.0)</f>
        <v>4</v>
      </c>
      <c r="H1142" s="26">
        <f>IFERROR(__xludf.DUMMYFUNCTION("""COMPUTED_VALUE"""),-93.4724)</f>
        <v>-93.4724</v>
      </c>
    </row>
    <row r="1143">
      <c r="A1143" s="26" t="str">
        <f>IFERROR(__xludf.DUMMYFUNCTION("""COMPUTED_VALUE"""),"CA-2015-145814")</f>
        <v>CA-2015-145814</v>
      </c>
      <c r="B1143" s="27">
        <f>IFERROR(__xludf.DUMMYFUNCTION("""COMPUTED_VALUE"""),42327.0)</f>
        <v>42327</v>
      </c>
      <c r="C1143" s="26" t="str">
        <f>IFERROR(__xludf.DUMMYFUNCTION("""COMPUTED_VALUE"""),"Katherine Ducich")</f>
        <v>Katherine Ducich</v>
      </c>
      <c r="D1143" s="26" t="str">
        <f>IFERROR(__xludf.DUMMYFUNCTION("""COMPUTED_VALUE"""),"Consumer")</f>
        <v>Consumer</v>
      </c>
      <c r="E1143" s="26" t="str">
        <f>IFERROR(__xludf.DUMMYFUNCTION("""COMPUTED_VALUE"""),"East")</f>
        <v>East</v>
      </c>
      <c r="F1143" s="26">
        <f>IFERROR(__xludf.DUMMYFUNCTION("""COMPUTED_VALUE"""),5.984)</f>
        <v>5.984</v>
      </c>
      <c r="G1143" s="26">
        <f>IFERROR(__xludf.DUMMYFUNCTION("""COMPUTED_VALUE"""),2.0)</f>
        <v>2</v>
      </c>
      <c r="H1143" s="26">
        <f>IFERROR(__xludf.DUMMYFUNCTION("""COMPUTED_VALUE"""),2.244)</f>
        <v>2.244</v>
      </c>
    </row>
    <row r="1144">
      <c r="A1144" s="26" t="str">
        <f>IFERROR(__xludf.DUMMYFUNCTION("""COMPUTED_VALUE"""),"US-2015-126753")</f>
        <v>US-2015-126753</v>
      </c>
      <c r="B1144" s="27">
        <f>IFERROR(__xludf.DUMMYFUNCTION("""COMPUTED_VALUE"""),42232.0)</f>
        <v>42232</v>
      </c>
      <c r="C1144" s="26" t="str">
        <f>IFERROR(__xludf.DUMMYFUNCTION("""COMPUTED_VALUE"""),"Sung Pak")</f>
        <v>Sung Pak</v>
      </c>
      <c r="D1144" s="26" t="str">
        <f>IFERROR(__xludf.DUMMYFUNCTION("""COMPUTED_VALUE"""),"Corporate")</f>
        <v>Corporate</v>
      </c>
      <c r="E1144" s="26" t="str">
        <f>IFERROR(__xludf.DUMMYFUNCTION("""COMPUTED_VALUE"""),"East")</f>
        <v>East</v>
      </c>
      <c r="F1144" s="26">
        <f>IFERROR(__xludf.DUMMYFUNCTION("""COMPUTED_VALUE"""),519.792)</f>
        <v>519.792</v>
      </c>
      <c r="G1144" s="26">
        <f>IFERROR(__xludf.DUMMYFUNCTION("""COMPUTED_VALUE"""),4.0)</f>
        <v>4</v>
      </c>
      <c r="H1144" s="26">
        <f>IFERROR(__xludf.DUMMYFUNCTION("""COMPUTED_VALUE"""),-112.6216)</f>
        <v>-112.6216</v>
      </c>
    </row>
    <row r="1145">
      <c r="A1145" s="26" t="str">
        <f>IFERROR(__xludf.DUMMYFUNCTION("""COMPUTED_VALUE"""),"CA-2015-132465")</f>
        <v>CA-2015-132465</v>
      </c>
      <c r="B1145" s="27">
        <f>IFERROR(__xludf.DUMMYFUNCTION("""COMPUTED_VALUE"""),42258.0)</f>
        <v>42258</v>
      </c>
      <c r="C1145" s="26" t="str">
        <f>IFERROR(__xludf.DUMMYFUNCTION("""COMPUTED_VALUE"""),"Don Miller")</f>
        <v>Don Miller</v>
      </c>
      <c r="D1145" s="26" t="str">
        <f>IFERROR(__xludf.DUMMYFUNCTION("""COMPUTED_VALUE"""),"Corporate")</f>
        <v>Corporate</v>
      </c>
      <c r="E1145" s="26" t="str">
        <f>IFERROR(__xludf.DUMMYFUNCTION("""COMPUTED_VALUE"""),"East")</f>
        <v>East</v>
      </c>
      <c r="F1145" s="26">
        <f>IFERROR(__xludf.DUMMYFUNCTION("""COMPUTED_VALUE"""),210.68)</f>
        <v>210.68</v>
      </c>
      <c r="G1145" s="26">
        <f>IFERROR(__xludf.DUMMYFUNCTION("""COMPUTED_VALUE"""),2.0)</f>
        <v>2</v>
      </c>
      <c r="H1145" s="26">
        <f>IFERROR(__xludf.DUMMYFUNCTION("""COMPUTED_VALUE"""),50.5632)</f>
        <v>50.5632</v>
      </c>
    </row>
    <row r="1146">
      <c r="A1146" s="26" t="str">
        <f>IFERROR(__xludf.DUMMYFUNCTION("""COMPUTED_VALUE"""),"CA-2015-153738")</f>
        <v>CA-2015-153738</v>
      </c>
      <c r="B1146" s="27">
        <f>IFERROR(__xludf.DUMMYFUNCTION("""COMPUTED_VALUE"""),42267.0)</f>
        <v>42267</v>
      </c>
      <c r="C1146" s="26" t="str">
        <f>IFERROR(__xludf.DUMMYFUNCTION("""COMPUTED_VALUE"""),"Alejandro Grove")</f>
        <v>Alejandro Grove</v>
      </c>
      <c r="D1146" s="26" t="str">
        <f>IFERROR(__xludf.DUMMYFUNCTION("""COMPUTED_VALUE"""),"Consumer")</f>
        <v>Consumer</v>
      </c>
      <c r="E1146" s="26" t="str">
        <f>IFERROR(__xludf.DUMMYFUNCTION("""COMPUTED_VALUE"""),"East")</f>
        <v>East</v>
      </c>
      <c r="F1146" s="26">
        <f>IFERROR(__xludf.DUMMYFUNCTION("""COMPUTED_VALUE"""),37.68)</f>
        <v>37.68</v>
      </c>
      <c r="G1146" s="26">
        <f>IFERROR(__xludf.DUMMYFUNCTION("""COMPUTED_VALUE"""),6.0)</f>
        <v>6</v>
      </c>
      <c r="H1146" s="26">
        <f>IFERROR(__xludf.DUMMYFUNCTION("""COMPUTED_VALUE"""),16.956)</f>
        <v>16.956</v>
      </c>
    </row>
    <row r="1147">
      <c r="A1147" s="26" t="str">
        <f>IFERROR(__xludf.DUMMYFUNCTION("""COMPUTED_VALUE"""),"CA-2015-156013")</f>
        <v>CA-2015-156013</v>
      </c>
      <c r="B1147" s="27">
        <f>IFERROR(__xludf.DUMMYFUNCTION("""COMPUTED_VALUE"""),42267.0)</f>
        <v>42267</v>
      </c>
      <c r="C1147" s="26" t="str">
        <f>IFERROR(__xludf.DUMMYFUNCTION("""COMPUTED_VALUE"""),"Tamara Chand")</f>
        <v>Tamara Chand</v>
      </c>
      <c r="D1147" s="26" t="str">
        <f>IFERROR(__xludf.DUMMYFUNCTION("""COMPUTED_VALUE"""),"Corporate")</f>
        <v>Corporate</v>
      </c>
      <c r="E1147" s="26" t="str">
        <f>IFERROR(__xludf.DUMMYFUNCTION("""COMPUTED_VALUE"""),"East")</f>
        <v>East</v>
      </c>
      <c r="F1147" s="26">
        <f>IFERROR(__xludf.DUMMYFUNCTION("""COMPUTED_VALUE"""),61.4)</f>
        <v>61.4</v>
      </c>
      <c r="G1147" s="26">
        <f>IFERROR(__xludf.DUMMYFUNCTION("""COMPUTED_VALUE"""),5.0)</f>
        <v>5</v>
      </c>
      <c r="H1147" s="26">
        <f>IFERROR(__xludf.DUMMYFUNCTION("""COMPUTED_VALUE"""),28.858)</f>
        <v>28.858</v>
      </c>
    </row>
    <row r="1148">
      <c r="A1148" s="26" t="str">
        <f>IFERROR(__xludf.DUMMYFUNCTION("""COMPUTED_VALUE"""),"US-2015-117492")</f>
        <v>US-2015-117492</v>
      </c>
      <c r="B1148" s="27">
        <f>IFERROR(__xludf.DUMMYFUNCTION("""COMPUTED_VALUE"""),42223.0)</f>
        <v>42223</v>
      </c>
      <c r="C1148" s="26" t="str">
        <f>IFERROR(__xludf.DUMMYFUNCTION("""COMPUTED_VALUE"""),"Noel Staavos")</f>
        <v>Noel Staavos</v>
      </c>
      <c r="D1148" s="26" t="str">
        <f>IFERROR(__xludf.DUMMYFUNCTION("""COMPUTED_VALUE"""),"Corporate")</f>
        <v>Corporate</v>
      </c>
      <c r="E1148" s="26" t="str">
        <f>IFERROR(__xludf.DUMMYFUNCTION("""COMPUTED_VALUE"""),"East")</f>
        <v>East</v>
      </c>
      <c r="F1148" s="26">
        <f>IFERROR(__xludf.DUMMYFUNCTION("""COMPUTED_VALUE"""),77.58)</f>
        <v>77.58</v>
      </c>
      <c r="G1148" s="26">
        <f>IFERROR(__xludf.DUMMYFUNCTION("""COMPUTED_VALUE"""),9.0)</f>
        <v>9</v>
      </c>
      <c r="H1148" s="26">
        <f>IFERROR(__xludf.DUMMYFUNCTION("""COMPUTED_VALUE"""),20.1708)</f>
        <v>20.1708</v>
      </c>
    </row>
    <row r="1149">
      <c r="A1149" s="26" t="str">
        <f>IFERROR(__xludf.DUMMYFUNCTION("""COMPUTED_VALUE"""),"CA-2015-120915")</f>
        <v>CA-2015-120915</v>
      </c>
      <c r="B1149" s="27">
        <f>IFERROR(__xludf.DUMMYFUNCTION("""COMPUTED_VALUE"""),42275.0)</f>
        <v>42275</v>
      </c>
      <c r="C1149" s="26" t="str">
        <f>IFERROR(__xludf.DUMMYFUNCTION("""COMPUTED_VALUE"""),"Jennifer Jackson")</f>
        <v>Jennifer Jackson</v>
      </c>
      <c r="D1149" s="26" t="str">
        <f>IFERROR(__xludf.DUMMYFUNCTION("""COMPUTED_VALUE"""),"Consumer")</f>
        <v>Consumer</v>
      </c>
      <c r="E1149" s="26" t="str">
        <f>IFERROR(__xludf.DUMMYFUNCTION("""COMPUTED_VALUE"""),"East")</f>
        <v>East</v>
      </c>
      <c r="F1149" s="26">
        <f>IFERROR(__xludf.DUMMYFUNCTION("""COMPUTED_VALUE"""),293.52)</f>
        <v>293.52</v>
      </c>
      <c r="G1149" s="26">
        <f>IFERROR(__xludf.DUMMYFUNCTION("""COMPUTED_VALUE"""),6.0)</f>
        <v>6</v>
      </c>
      <c r="H1149" s="26">
        <f>IFERROR(__xludf.DUMMYFUNCTION("""COMPUTED_VALUE"""),76.3152)</f>
        <v>76.3152</v>
      </c>
    </row>
    <row r="1150">
      <c r="A1150" s="26" t="str">
        <f>IFERROR(__xludf.DUMMYFUNCTION("""COMPUTED_VALUE"""),"CA-2015-119879")</f>
        <v>CA-2015-119879</v>
      </c>
      <c r="B1150" s="27">
        <f>IFERROR(__xludf.DUMMYFUNCTION("""COMPUTED_VALUE"""),42329.0)</f>
        <v>42329</v>
      </c>
      <c r="C1150" s="26" t="str">
        <f>IFERROR(__xludf.DUMMYFUNCTION("""COMPUTED_VALUE"""),"Shahid Shariari")</f>
        <v>Shahid Shariari</v>
      </c>
      <c r="D1150" s="26" t="str">
        <f>IFERROR(__xludf.DUMMYFUNCTION("""COMPUTED_VALUE"""),"Consumer")</f>
        <v>Consumer</v>
      </c>
      <c r="E1150" s="26" t="str">
        <f>IFERROR(__xludf.DUMMYFUNCTION("""COMPUTED_VALUE"""),"East")</f>
        <v>East</v>
      </c>
      <c r="F1150" s="26">
        <f>IFERROR(__xludf.DUMMYFUNCTION("""COMPUTED_VALUE"""),1252.704)</f>
        <v>1252.704</v>
      </c>
      <c r="G1150" s="26">
        <f>IFERROR(__xludf.DUMMYFUNCTION("""COMPUTED_VALUE"""),8.0)</f>
        <v>8</v>
      </c>
      <c r="H1150" s="26">
        <f>IFERROR(__xludf.DUMMYFUNCTION("""COMPUTED_VALUE"""),-480.2032)</f>
        <v>-480.2032</v>
      </c>
    </row>
    <row r="1151">
      <c r="A1151" s="26" t="str">
        <f>IFERROR(__xludf.DUMMYFUNCTION("""COMPUTED_VALUE"""),"CA-2015-140375")</f>
        <v>CA-2015-140375</v>
      </c>
      <c r="B1151" s="27">
        <f>IFERROR(__xludf.DUMMYFUNCTION("""COMPUTED_VALUE"""),42279.0)</f>
        <v>42279</v>
      </c>
      <c r="C1151" s="26" t="str">
        <f>IFERROR(__xludf.DUMMYFUNCTION("""COMPUTED_VALUE"""),"Sheri Gordon")</f>
        <v>Sheri Gordon</v>
      </c>
      <c r="D1151" s="26" t="str">
        <f>IFERROR(__xludf.DUMMYFUNCTION("""COMPUTED_VALUE"""),"Consumer")</f>
        <v>Consumer</v>
      </c>
      <c r="E1151" s="26" t="str">
        <f>IFERROR(__xludf.DUMMYFUNCTION("""COMPUTED_VALUE"""),"East")</f>
        <v>East</v>
      </c>
      <c r="F1151" s="26">
        <f>IFERROR(__xludf.DUMMYFUNCTION("""COMPUTED_VALUE"""),19.44)</f>
        <v>19.44</v>
      </c>
      <c r="G1151" s="26">
        <f>IFERROR(__xludf.DUMMYFUNCTION("""COMPUTED_VALUE"""),3.0)</f>
        <v>3</v>
      </c>
      <c r="H1151" s="26">
        <f>IFERROR(__xludf.DUMMYFUNCTION("""COMPUTED_VALUE"""),9.3312)</f>
        <v>9.3312</v>
      </c>
    </row>
    <row r="1152">
      <c r="A1152" s="26" t="str">
        <f>IFERROR(__xludf.DUMMYFUNCTION("""COMPUTED_VALUE"""),"CA-2015-114811")</f>
        <v>CA-2015-114811</v>
      </c>
      <c r="B1152" s="27">
        <f>IFERROR(__xludf.DUMMYFUNCTION("""COMPUTED_VALUE"""),42316.0)</f>
        <v>42316</v>
      </c>
      <c r="C1152" s="26" t="str">
        <f>IFERROR(__xludf.DUMMYFUNCTION("""COMPUTED_VALUE"""),"Keith Dawkins")</f>
        <v>Keith Dawkins</v>
      </c>
      <c r="D1152" s="26" t="str">
        <f>IFERROR(__xludf.DUMMYFUNCTION("""COMPUTED_VALUE"""),"Corporate")</f>
        <v>Corporate</v>
      </c>
      <c r="E1152" s="26" t="str">
        <f>IFERROR(__xludf.DUMMYFUNCTION("""COMPUTED_VALUE"""),"East")</f>
        <v>East</v>
      </c>
      <c r="F1152" s="26">
        <f>IFERROR(__xludf.DUMMYFUNCTION("""COMPUTED_VALUE"""),67.15)</f>
        <v>67.15</v>
      </c>
      <c r="G1152" s="26">
        <f>IFERROR(__xludf.DUMMYFUNCTION("""COMPUTED_VALUE"""),5.0)</f>
        <v>5</v>
      </c>
      <c r="H1152" s="26">
        <f>IFERROR(__xludf.DUMMYFUNCTION("""COMPUTED_VALUE"""),16.7875)</f>
        <v>16.7875</v>
      </c>
    </row>
    <row r="1153">
      <c r="A1153" s="26" t="str">
        <f>IFERROR(__xludf.DUMMYFUNCTION("""COMPUTED_VALUE"""),"CA-2015-104059")</f>
        <v>CA-2015-104059</v>
      </c>
      <c r="B1153" s="27">
        <f>IFERROR(__xludf.DUMMYFUNCTION("""COMPUTED_VALUE"""),42168.0)</f>
        <v>42168</v>
      </c>
      <c r="C1153" s="26" t="str">
        <f>IFERROR(__xludf.DUMMYFUNCTION("""COMPUTED_VALUE"""),"Frank Carlisle")</f>
        <v>Frank Carlisle</v>
      </c>
      <c r="D1153" s="26" t="str">
        <f>IFERROR(__xludf.DUMMYFUNCTION("""COMPUTED_VALUE"""),"Home Office")</f>
        <v>Home Office</v>
      </c>
      <c r="E1153" s="26" t="str">
        <f>IFERROR(__xludf.DUMMYFUNCTION("""COMPUTED_VALUE"""),"East")</f>
        <v>East</v>
      </c>
      <c r="F1153" s="26">
        <f>IFERROR(__xludf.DUMMYFUNCTION("""COMPUTED_VALUE"""),3.424)</f>
        <v>3.424</v>
      </c>
      <c r="G1153" s="26">
        <f>IFERROR(__xludf.DUMMYFUNCTION("""COMPUTED_VALUE"""),1.0)</f>
        <v>1</v>
      </c>
      <c r="H1153" s="26">
        <f>IFERROR(__xludf.DUMMYFUNCTION("""COMPUTED_VALUE"""),0.2996)</f>
        <v>0.2996</v>
      </c>
    </row>
    <row r="1154">
      <c r="A1154" s="26" t="str">
        <f>IFERROR(__xludf.DUMMYFUNCTION("""COMPUTED_VALUE"""),"CA-2015-143882")</f>
        <v>CA-2015-143882</v>
      </c>
      <c r="B1154" s="27">
        <f>IFERROR(__xludf.DUMMYFUNCTION("""COMPUTED_VALUE"""),42181.0)</f>
        <v>42181</v>
      </c>
      <c r="C1154" s="26" t="str">
        <f>IFERROR(__xludf.DUMMYFUNCTION("""COMPUTED_VALUE"""),"Dennis Bolton")</f>
        <v>Dennis Bolton</v>
      </c>
      <c r="D1154" s="26" t="str">
        <f>IFERROR(__xludf.DUMMYFUNCTION("""COMPUTED_VALUE"""),"Home Office")</f>
        <v>Home Office</v>
      </c>
      <c r="E1154" s="26" t="str">
        <f>IFERROR(__xludf.DUMMYFUNCTION("""COMPUTED_VALUE"""),"East")</f>
        <v>East</v>
      </c>
      <c r="F1154" s="26">
        <f>IFERROR(__xludf.DUMMYFUNCTION("""COMPUTED_VALUE"""),43.056)</f>
        <v>43.056</v>
      </c>
      <c r="G1154" s="26">
        <f>IFERROR(__xludf.DUMMYFUNCTION("""COMPUTED_VALUE"""),9.0)</f>
        <v>9</v>
      </c>
      <c r="H1154" s="26">
        <f>IFERROR(__xludf.DUMMYFUNCTION("""COMPUTED_VALUE"""),15.6078)</f>
        <v>15.6078</v>
      </c>
    </row>
    <row r="1155">
      <c r="A1155" s="26" t="str">
        <f>IFERROR(__xludf.DUMMYFUNCTION("""COMPUTED_VALUE"""),"CA-2015-106362")</f>
        <v>CA-2015-106362</v>
      </c>
      <c r="B1155" s="27">
        <f>IFERROR(__xludf.DUMMYFUNCTION("""COMPUTED_VALUE"""),42349.0)</f>
        <v>42349</v>
      </c>
      <c r="C1155" s="26" t="str">
        <f>IFERROR(__xludf.DUMMYFUNCTION("""COMPUTED_VALUE"""),"Lena Creighton")</f>
        <v>Lena Creighton</v>
      </c>
      <c r="D1155" s="26" t="str">
        <f>IFERROR(__xludf.DUMMYFUNCTION("""COMPUTED_VALUE"""),"Consumer")</f>
        <v>Consumer</v>
      </c>
      <c r="E1155" s="26" t="str">
        <f>IFERROR(__xludf.DUMMYFUNCTION("""COMPUTED_VALUE"""),"East")</f>
        <v>East</v>
      </c>
      <c r="F1155" s="26">
        <f>IFERROR(__xludf.DUMMYFUNCTION("""COMPUTED_VALUE"""),10.332)</f>
        <v>10.332</v>
      </c>
      <c r="G1155" s="26">
        <f>IFERROR(__xludf.DUMMYFUNCTION("""COMPUTED_VALUE"""),3.0)</f>
        <v>3</v>
      </c>
      <c r="H1155" s="26">
        <f>IFERROR(__xludf.DUMMYFUNCTION("""COMPUTED_VALUE"""),-7.5768)</f>
        <v>-7.5768</v>
      </c>
    </row>
    <row r="1156">
      <c r="A1156" s="26" t="str">
        <f>IFERROR(__xludf.DUMMYFUNCTION("""COMPUTED_VALUE"""),"US-2015-115238")</f>
        <v>US-2015-115238</v>
      </c>
      <c r="B1156" s="27">
        <f>IFERROR(__xludf.DUMMYFUNCTION("""COMPUTED_VALUE"""),42124.0)</f>
        <v>42124</v>
      </c>
      <c r="C1156" s="26" t="str">
        <f>IFERROR(__xludf.DUMMYFUNCTION("""COMPUTED_VALUE"""),"Jane Waco")</f>
        <v>Jane Waco</v>
      </c>
      <c r="D1156" s="26" t="str">
        <f>IFERROR(__xludf.DUMMYFUNCTION("""COMPUTED_VALUE"""),"Corporate")</f>
        <v>Corporate</v>
      </c>
      <c r="E1156" s="26" t="str">
        <f>IFERROR(__xludf.DUMMYFUNCTION("""COMPUTED_VALUE"""),"East")</f>
        <v>East</v>
      </c>
      <c r="F1156" s="26">
        <f>IFERROR(__xludf.DUMMYFUNCTION("""COMPUTED_VALUE"""),31.4)</f>
        <v>31.4</v>
      </c>
      <c r="G1156" s="26">
        <f>IFERROR(__xludf.DUMMYFUNCTION("""COMPUTED_VALUE"""),5.0)</f>
        <v>5</v>
      </c>
      <c r="H1156" s="26">
        <f>IFERROR(__xludf.DUMMYFUNCTION("""COMPUTED_VALUE"""),13.188)</f>
        <v>13.188</v>
      </c>
    </row>
    <row r="1157">
      <c r="A1157" s="26" t="str">
        <f>IFERROR(__xludf.DUMMYFUNCTION("""COMPUTED_VALUE"""),"CA-2015-149601")</f>
        <v>CA-2015-149601</v>
      </c>
      <c r="B1157" s="27">
        <f>IFERROR(__xludf.DUMMYFUNCTION("""COMPUTED_VALUE"""),42152.0)</f>
        <v>42152</v>
      </c>
      <c r="C1157" s="26" t="str">
        <f>IFERROR(__xludf.DUMMYFUNCTION("""COMPUTED_VALUE"""),"Trudy Brown")</f>
        <v>Trudy Brown</v>
      </c>
      <c r="D1157" s="26" t="str">
        <f>IFERROR(__xludf.DUMMYFUNCTION("""COMPUTED_VALUE"""),"Consumer")</f>
        <v>Consumer</v>
      </c>
      <c r="E1157" s="26" t="str">
        <f>IFERROR(__xludf.DUMMYFUNCTION("""COMPUTED_VALUE"""),"East")</f>
        <v>East</v>
      </c>
      <c r="F1157" s="26">
        <f>IFERROR(__xludf.DUMMYFUNCTION("""COMPUTED_VALUE"""),16.24)</f>
        <v>16.24</v>
      </c>
      <c r="G1157" s="26">
        <f>IFERROR(__xludf.DUMMYFUNCTION("""COMPUTED_VALUE"""),1.0)</f>
        <v>1</v>
      </c>
      <c r="H1157" s="26">
        <f>IFERROR(__xludf.DUMMYFUNCTION("""COMPUTED_VALUE"""),2.436)</f>
        <v>2.436</v>
      </c>
    </row>
    <row r="1158">
      <c r="A1158" s="26" t="str">
        <f>IFERROR(__xludf.DUMMYFUNCTION("""COMPUTED_VALUE"""),"CA-2015-110814")</f>
        <v>CA-2015-110814</v>
      </c>
      <c r="B1158" s="27">
        <f>IFERROR(__xludf.DUMMYFUNCTION("""COMPUTED_VALUE"""),42343.0)</f>
        <v>42343</v>
      </c>
      <c r="C1158" s="26" t="str">
        <f>IFERROR(__xludf.DUMMYFUNCTION("""COMPUTED_VALUE"""),"Brian Derr")</f>
        <v>Brian Derr</v>
      </c>
      <c r="D1158" s="26" t="str">
        <f>IFERROR(__xludf.DUMMYFUNCTION("""COMPUTED_VALUE"""),"Consumer")</f>
        <v>Consumer</v>
      </c>
      <c r="E1158" s="26" t="str">
        <f>IFERROR(__xludf.DUMMYFUNCTION("""COMPUTED_VALUE"""),"East")</f>
        <v>East</v>
      </c>
      <c r="F1158" s="26">
        <f>IFERROR(__xludf.DUMMYFUNCTION("""COMPUTED_VALUE"""),232.4)</f>
        <v>232.4</v>
      </c>
      <c r="G1158" s="26">
        <f>IFERROR(__xludf.DUMMYFUNCTION("""COMPUTED_VALUE"""),5.0)</f>
        <v>5</v>
      </c>
      <c r="H1158" s="26">
        <f>IFERROR(__xludf.DUMMYFUNCTION("""COMPUTED_VALUE"""),78.435)</f>
        <v>78.435</v>
      </c>
    </row>
    <row r="1159">
      <c r="A1159" s="26" t="str">
        <f>IFERROR(__xludf.DUMMYFUNCTION("""COMPUTED_VALUE"""),"CA-2015-112823")</f>
        <v>CA-2015-112823</v>
      </c>
      <c r="B1159" s="27">
        <f>IFERROR(__xludf.DUMMYFUNCTION("""COMPUTED_VALUE"""),42348.0)</f>
        <v>42348</v>
      </c>
      <c r="C1159" s="26" t="str">
        <f>IFERROR(__xludf.DUMMYFUNCTION("""COMPUTED_VALUE"""),"Ryan Akin")</f>
        <v>Ryan Akin</v>
      </c>
      <c r="D1159" s="26" t="str">
        <f>IFERROR(__xludf.DUMMYFUNCTION("""COMPUTED_VALUE"""),"Consumer")</f>
        <v>Consumer</v>
      </c>
      <c r="E1159" s="26" t="str">
        <f>IFERROR(__xludf.DUMMYFUNCTION("""COMPUTED_VALUE"""),"East")</f>
        <v>East</v>
      </c>
      <c r="F1159" s="26">
        <f>IFERROR(__xludf.DUMMYFUNCTION("""COMPUTED_VALUE"""),25.488)</f>
        <v>25.488</v>
      </c>
      <c r="G1159" s="26">
        <f>IFERROR(__xludf.DUMMYFUNCTION("""COMPUTED_VALUE"""),2.0)</f>
        <v>2</v>
      </c>
      <c r="H1159" s="26">
        <f>IFERROR(__xludf.DUMMYFUNCTION("""COMPUTED_VALUE"""),4.4604)</f>
        <v>4.4604</v>
      </c>
    </row>
    <row r="1160">
      <c r="A1160" s="26" t="str">
        <f>IFERROR(__xludf.DUMMYFUNCTION("""COMPUTED_VALUE"""),"CA-2015-116512")</f>
        <v>CA-2015-116512</v>
      </c>
      <c r="B1160" s="27">
        <f>IFERROR(__xludf.DUMMYFUNCTION("""COMPUTED_VALUE"""),42103.0)</f>
        <v>42103</v>
      </c>
      <c r="C1160" s="26" t="str">
        <f>IFERROR(__xludf.DUMMYFUNCTION("""COMPUTED_VALUE"""),"Mick Crebagga")</f>
        <v>Mick Crebagga</v>
      </c>
      <c r="D1160" s="26" t="str">
        <f>IFERROR(__xludf.DUMMYFUNCTION("""COMPUTED_VALUE"""),"Consumer")</f>
        <v>Consumer</v>
      </c>
      <c r="E1160" s="26" t="str">
        <f>IFERROR(__xludf.DUMMYFUNCTION("""COMPUTED_VALUE"""),"East")</f>
        <v>East</v>
      </c>
      <c r="F1160" s="26">
        <f>IFERROR(__xludf.DUMMYFUNCTION("""COMPUTED_VALUE"""),17.94)</f>
        <v>17.94</v>
      </c>
      <c r="G1160" s="26">
        <f>IFERROR(__xludf.DUMMYFUNCTION("""COMPUTED_VALUE"""),3.0)</f>
        <v>3</v>
      </c>
      <c r="H1160" s="26">
        <f>IFERROR(__xludf.DUMMYFUNCTION("""COMPUTED_VALUE"""),3.0498)</f>
        <v>3.0498</v>
      </c>
    </row>
    <row r="1161">
      <c r="A1161" s="26" t="str">
        <f>IFERROR(__xludf.DUMMYFUNCTION("""COMPUTED_VALUE"""),"CA-2015-101000")</f>
        <v>CA-2015-101000</v>
      </c>
      <c r="B1161" s="27">
        <f>IFERROR(__xludf.DUMMYFUNCTION("""COMPUTED_VALUE"""),42103.0)</f>
        <v>42103</v>
      </c>
      <c r="C1161" s="26" t="str">
        <f>IFERROR(__xludf.DUMMYFUNCTION("""COMPUTED_VALUE"""),"Ivan Gibson")</f>
        <v>Ivan Gibson</v>
      </c>
      <c r="D1161" s="26" t="str">
        <f>IFERROR(__xludf.DUMMYFUNCTION("""COMPUTED_VALUE"""),"Consumer")</f>
        <v>Consumer</v>
      </c>
      <c r="E1161" s="26" t="str">
        <f>IFERROR(__xludf.DUMMYFUNCTION("""COMPUTED_VALUE"""),"East")</f>
        <v>East</v>
      </c>
      <c r="F1161" s="26">
        <f>IFERROR(__xludf.DUMMYFUNCTION("""COMPUTED_VALUE"""),370.14)</f>
        <v>370.14</v>
      </c>
      <c r="G1161" s="26">
        <f>IFERROR(__xludf.DUMMYFUNCTION("""COMPUTED_VALUE"""),3.0)</f>
        <v>3</v>
      </c>
      <c r="H1161" s="26">
        <f>IFERROR(__xludf.DUMMYFUNCTION("""COMPUTED_VALUE"""),144.3546)</f>
        <v>144.3546</v>
      </c>
    </row>
    <row r="1162">
      <c r="A1162" s="26" t="str">
        <f>IFERROR(__xludf.DUMMYFUNCTION("""COMPUTED_VALUE"""),"CA-2015-145758")</f>
        <v>CA-2015-145758</v>
      </c>
      <c r="B1162" s="27">
        <f>IFERROR(__xludf.DUMMYFUNCTION("""COMPUTED_VALUE"""),42307.0)</f>
        <v>42307</v>
      </c>
      <c r="C1162" s="26" t="str">
        <f>IFERROR(__xludf.DUMMYFUNCTION("""COMPUTED_VALUE"""),"Barry Französisch")</f>
        <v>Barry Französisch</v>
      </c>
      <c r="D1162" s="26" t="str">
        <f>IFERROR(__xludf.DUMMYFUNCTION("""COMPUTED_VALUE"""),"Corporate")</f>
        <v>Corporate</v>
      </c>
      <c r="E1162" s="26" t="str">
        <f>IFERROR(__xludf.DUMMYFUNCTION("""COMPUTED_VALUE"""),"East")</f>
        <v>East</v>
      </c>
      <c r="F1162" s="26">
        <f>IFERROR(__xludf.DUMMYFUNCTION("""COMPUTED_VALUE"""),1035.8)</f>
        <v>1035.8</v>
      </c>
      <c r="G1162" s="26">
        <f>IFERROR(__xludf.DUMMYFUNCTION("""COMPUTED_VALUE"""),4.0)</f>
        <v>4</v>
      </c>
      <c r="H1162" s="26">
        <f>IFERROR(__xludf.DUMMYFUNCTION("""COMPUTED_VALUE"""),269.308)</f>
        <v>269.308</v>
      </c>
    </row>
    <row r="1163">
      <c r="A1163" s="26" t="str">
        <f>IFERROR(__xludf.DUMMYFUNCTION("""COMPUTED_VALUE"""),"CA-2015-157343")</f>
        <v>CA-2015-157343</v>
      </c>
      <c r="B1163" s="27">
        <f>IFERROR(__xludf.DUMMYFUNCTION("""COMPUTED_VALUE"""),42162.0)</f>
        <v>42162</v>
      </c>
      <c r="C1163" s="26" t="str">
        <f>IFERROR(__xludf.DUMMYFUNCTION("""COMPUTED_VALUE"""),"Harold Dahlen")</f>
        <v>Harold Dahlen</v>
      </c>
      <c r="D1163" s="26" t="str">
        <f>IFERROR(__xludf.DUMMYFUNCTION("""COMPUTED_VALUE"""),"Home Office")</f>
        <v>Home Office</v>
      </c>
      <c r="E1163" s="26" t="str">
        <f>IFERROR(__xludf.DUMMYFUNCTION("""COMPUTED_VALUE"""),"East")</f>
        <v>East</v>
      </c>
      <c r="F1163" s="26">
        <f>IFERROR(__xludf.DUMMYFUNCTION("""COMPUTED_VALUE"""),18.312)</f>
        <v>18.312</v>
      </c>
      <c r="G1163" s="26">
        <f>IFERROR(__xludf.DUMMYFUNCTION("""COMPUTED_VALUE"""),4.0)</f>
        <v>4</v>
      </c>
      <c r="H1163" s="26">
        <f>IFERROR(__xludf.DUMMYFUNCTION("""COMPUTED_VALUE"""),-12.208)</f>
        <v>-12.208</v>
      </c>
    </row>
    <row r="1164">
      <c r="A1164" s="26" t="str">
        <f>IFERROR(__xludf.DUMMYFUNCTION("""COMPUTED_VALUE"""),"CA-2015-157287")</f>
        <v>CA-2015-157287</v>
      </c>
      <c r="B1164" s="27">
        <f>IFERROR(__xludf.DUMMYFUNCTION("""COMPUTED_VALUE"""),42360.0)</f>
        <v>42360</v>
      </c>
      <c r="C1164" s="26" t="str">
        <f>IFERROR(__xludf.DUMMYFUNCTION("""COMPUTED_VALUE"""),"Harold Ryan")</f>
        <v>Harold Ryan</v>
      </c>
      <c r="D1164" s="26" t="str">
        <f>IFERROR(__xludf.DUMMYFUNCTION("""COMPUTED_VALUE"""),"Corporate")</f>
        <v>Corporate</v>
      </c>
      <c r="E1164" s="26" t="str">
        <f>IFERROR(__xludf.DUMMYFUNCTION("""COMPUTED_VALUE"""),"East")</f>
        <v>East</v>
      </c>
      <c r="F1164" s="26">
        <f>IFERROR(__xludf.DUMMYFUNCTION("""COMPUTED_VALUE"""),33.568)</f>
        <v>33.568</v>
      </c>
      <c r="G1164" s="26">
        <f>IFERROR(__xludf.DUMMYFUNCTION("""COMPUTED_VALUE"""),2.0)</f>
        <v>2</v>
      </c>
      <c r="H1164" s="26">
        <f>IFERROR(__xludf.DUMMYFUNCTION("""COMPUTED_VALUE"""),1.6784)</f>
        <v>1.6784</v>
      </c>
    </row>
    <row r="1165">
      <c r="A1165" s="26" t="str">
        <f>IFERROR(__xludf.DUMMYFUNCTION("""COMPUTED_VALUE"""),"CA-2015-164623")</f>
        <v>CA-2015-164623</v>
      </c>
      <c r="B1165" s="27">
        <f>IFERROR(__xludf.DUMMYFUNCTION("""COMPUTED_VALUE"""),42297.0)</f>
        <v>42297</v>
      </c>
      <c r="C1165" s="26" t="str">
        <f>IFERROR(__xludf.DUMMYFUNCTION("""COMPUTED_VALUE"""),"Maxwell Schwartz")</f>
        <v>Maxwell Schwartz</v>
      </c>
      <c r="D1165" s="26" t="str">
        <f>IFERROR(__xludf.DUMMYFUNCTION("""COMPUTED_VALUE"""),"Consumer")</f>
        <v>Consumer</v>
      </c>
      <c r="E1165" s="26" t="str">
        <f>IFERROR(__xludf.DUMMYFUNCTION("""COMPUTED_VALUE"""),"East")</f>
        <v>East</v>
      </c>
      <c r="F1165" s="26">
        <f>IFERROR(__xludf.DUMMYFUNCTION("""COMPUTED_VALUE"""),24.56)</f>
        <v>24.56</v>
      </c>
      <c r="G1165" s="26">
        <f>IFERROR(__xludf.DUMMYFUNCTION("""COMPUTED_VALUE"""),2.0)</f>
        <v>2</v>
      </c>
      <c r="H1165" s="26">
        <f>IFERROR(__xludf.DUMMYFUNCTION("""COMPUTED_VALUE"""),11.5432)</f>
        <v>11.5432</v>
      </c>
    </row>
    <row r="1166">
      <c r="A1166" s="26" t="str">
        <f>IFERROR(__xludf.DUMMYFUNCTION("""COMPUTED_VALUE"""),"CA-2015-138492")</f>
        <v>CA-2015-138492</v>
      </c>
      <c r="B1166" s="27">
        <f>IFERROR(__xludf.DUMMYFUNCTION("""COMPUTED_VALUE"""),42139.0)</f>
        <v>42139</v>
      </c>
      <c r="C1166" s="26" t="str">
        <f>IFERROR(__xludf.DUMMYFUNCTION("""COMPUTED_VALUE"""),"Fred Chung")</f>
        <v>Fred Chung</v>
      </c>
      <c r="D1166" s="26" t="str">
        <f>IFERROR(__xludf.DUMMYFUNCTION("""COMPUTED_VALUE"""),"Corporate")</f>
        <v>Corporate</v>
      </c>
      <c r="E1166" s="26" t="str">
        <f>IFERROR(__xludf.DUMMYFUNCTION("""COMPUTED_VALUE"""),"East")</f>
        <v>East</v>
      </c>
      <c r="F1166" s="26">
        <f>IFERROR(__xludf.DUMMYFUNCTION("""COMPUTED_VALUE"""),51.968)</f>
        <v>51.968</v>
      </c>
      <c r="G1166" s="26">
        <f>IFERROR(__xludf.DUMMYFUNCTION("""COMPUTED_VALUE"""),2.0)</f>
        <v>2</v>
      </c>
      <c r="H1166" s="26">
        <f>IFERROR(__xludf.DUMMYFUNCTION("""COMPUTED_VALUE"""),-10.3936)</f>
        <v>-10.3936</v>
      </c>
    </row>
    <row r="1167">
      <c r="A1167" s="26" t="str">
        <f>IFERROR(__xludf.DUMMYFUNCTION("""COMPUTED_VALUE"""),"CA-2015-164084")</f>
        <v>CA-2015-164084</v>
      </c>
      <c r="B1167" s="27">
        <f>IFERROR(__xludf.DUMMYFUNCTION("""COMPUTED_VALUE"""),42254.0)</f>
        <v>42254</v>
      </c>
      <c r="C1167" s="26" t="str">
        <f>IFERROR(__xludf.DUMMYFUNCTION("""COMPUTED_VALUE"""),"Andy Gerbode")</f>
        <v>Andy Gerbode</v>
      </c>
      <c r="D1167" s="26" t="str">
        <f>IFERROR(__xludf.DUMMYFUNCTION("""COMPUTED_VALUE"""),"Corporate")</f>
        <v>Corporate</v>
      </c>
      <c r="E1167" s="26" t="str">
        <f>IFERROR(__xludf.DUMMYFUNCTION("""COMPUTED_VALUE"""),"East")</f>
        <v>East</v>
      </c>
      <c r="F1167" s="26">
        <f>IFERROR(__xludf.DUMMYFUNCTION("""COMPUTED_VALUE"""),70.26)</f>
        <v>70.26</v>
      </c>
      <c r="G1167" s="26">
        <f>IFERROR(__xludf.DUMMYFUNCTION("""COMPUTED_VALUE"""),3.0)</f>
        <v>3</v>
      </c>
      <c r="H1167" s="26">
        <f>IFERROR(__xludf.DUMMYFUNCTION("""COMPUTED_VALUE"""),18.9702)</f>
        <v>18.9702</v>
      </c>
    </row>
    <row r="1168">
      <c r="A1168" s="26" t="str">
        <f>IFERROR(__xludf.DUMMYFUNCTION("""COMPUTED_VALUE"""),"CA-2015-133494")</f>
        <v>CA-2015-133494</v>
      </c>
      <c r="B1168" s="27">
        <f>IFERROR(__xludf.DUMMYFUNCTION("""COMPUTED_VALUE"""),42064.0)</f>
        <v>42064</v>
      </c>
      <c r="C1168" s="26" t="str">
        <f>IFERROR(__xludf.DUMMYFUNCTION("""COMPUTED_VALUE"""),"Resi Pölking")</f>
        <v>Resi Pölking</v>
      </c>
      <c r="D1168" s="26" t="str">
        <f>IFERROR(__xludf.DUMMYFUNCTION("""COMPUTED_VALUE"""),"Consumer")</f>
        <v>Consumer</v>
      </c>
      <c r="E1168" s="26" t="str">
        <f>IFERROR(__xludf.DUMMYFUNCTION("""COMPUTED_VALUE"""),"East")</f>
        <v>East</v>
      </c>
      <c r="F1168" s="26">
        <f>IFERROR(__xludf.DUMMYFUNCTION("""COMPUTED_VALUE"""),3.552)</f>
        <v>3.552</v>
      </c>
      <c r="G1168" s="26">
        <f>IFERROR(__xludf.DUMMYFUNCTION("""COMPUTED_VALUE"""),2.0)</f>
        <v>2</v>
      </c>
      <c r="H1168" s="26">
        <f>IFERROR(__xludf.DUMMYFUNCTION("""COMPUTED_VALUE"""),0.444)</f>
        <v>0.444</v>
      </c>
    </row>
    <row r="1169">
      <c r="A1169" s="26" t="str">
        <f>IFERROR(__xludf.DUMMYFUNCTION("""COMPUTED_VALUE"""),"CA-2015-162376")</f>
        <v>CA-2015-162376</v>
      </c>
      <c r="B1169" s="27">
        <f>IFERROR(__xludf.DUMMYFUNCTION("""COMPUTED_VALUE"""),42330.0)</f>
        <v>42330</v>
      </c>
      <c r="C1169" s="26" t="str">
        <f>IFERROR(__xludf.DUMMYFUNCTION("""COMPUTED_VALUE"""),"Harold Dahlen")</f>
        <v>Harold Dahlen</v>
      </c>
      <c r="D1169" s="26" t="str">
        <f>IFERROR(__xludf.DUMMYFUNCTION("""COMPUTED_VALUE"""),"Home Office")</f>
        <v>Home Office</v>
      </c>
      <c r="E1169" s="26" t="str">
        <f>IFERROR(__xludf.DUMMYFUNCTION("""COMPUTED_VALUE"""),"East")</f>
        <v>East</v>
      </c>
      <c r="F1169" s="26">
        <f>IFERROR(__xludf.DUMMYFUNCTION("""COMPUTED_VALUE"""),17.12)</f>
        <v>17.12</v>
      </c>
      <c r="G1169" s="26">
        <f>IFERROR(__xludf.DUMMYFUNCTION("""COMPUTED_VALUE"""),4.0)</f>
        <v>4</v>
      </c>
      <c r="H1169" s="26">
        <f>IFERROR(__xludf.DUMMYFUNCTION("""COMPUTED_VALUE"""),4.9648)</f>
        <v>4.9648</v>
      </c>
    </row>
    <row r="1170">
      <c r="A1170" s="26" t="str">
        <f>IFERROR(__xludf.DUMMYFUNCTION("""COMPUTED_VALUE"""),"US-2015-163825")</f>
        <v>US-2015-163825</v>
      </c>
      <c r="B1170" s="27">
        <f>IFERROR(__xludf.DUMMYFUNCTION("""COMPUTED_VALUE"""),42171.0)</f>
        <v>42171</v>
      </c>
      <c r="C1170" s="26" t="str">
        <f>IFERROR(__xludf.DUMMYFUNCTION("""COMPUTED_VALUE"""),"Lena Creighton")</f>
        <v>Lena Creighton</v>
      </c>
      <c r="D1170" s="26" t="str">
        <f>IFERROR(__xludf.DUMMYFUNCTION("""COMPUTED_VALUE"""),"Consumer")</f>
        <v>Consumer</v>
      </c>
      <c r="E1170" s="26" t="str">
        <f>IFERROR(__xludf.DUMMYFUNCTION("""COMPUTED_VALUE"""),"East")</f>
        <v>East</v>
      </c>
      <c r="F1170" s="26">
        <f>IFERROR(__xludf.DUMMYFUNCTION("""COMPUTED_VALUE"""),3050.376)</f>
        <v>3050.376</v>
      </c>
      <c r="G1170" s="26">
        <f>IFERROR(__xludf.DUMMYFUNCTION("""COMPUTED_VALUE"""),3.0)</f>
        <v>3</v>
      </c>
      <c r="H1170" s="26">
        <f>IFERROR(__xludf.DUMMYFUNCTION("""COMPUTED_VALUE"""),1143.891)</f>
        <v>1143.891</v>
      </c>
    </row>
    <row r="1171">
      <c r="A1171" s="26" t="str">
        <f>IFERROR(__xludf.DUMMYFUNCTION("""COMPUTED_VALUE"""),"CA-2015-151722")</f>
        <v>CA-2015-151722</v>
      </c>
      <c r="B1171" s="27">
        <f>IFERROR(__xludf.DUMMYFUNCTION("""COMPUTED_VALUE"""),42282.0)</f>
        <v>42282</v>
      </c>
      <c r="C1171" s="26" t="str">
        <f>IFERROR(__xludf.DUMMYFUNCTION("""COMPUTED_VALUE"""),"Ivan Liston")</f>
        <v>Ivan Liston</v>
      </c>
      <c r="D1171" s="26" t="str">
        <f>IFERROR(__xludf.DUMMYFUNCTION("""COMPUTED_VALUE"""),"Consumer")</f>
        <v>Consumer</v>
      </c>
      <c r="E1171" s="26" t="str">
        <f>IFERROR(__xludf.DUMMYFUNCTION("""COMPUTED_VALUE"""),"East")</f>
        <v>East</v>
      </c>
      <c r="F1171" s="26">
        <f>IFERROR(__xludf.DUMMYFUNCTION("""COMPUTED_VALUE"""),288.0)</f>
        <v>288</v>
      </c>
      <c r="G1171" s="26">
        <f>IFERROR(__xludf.DUMMYFUNCTION("""COMPUTED_VALUE"""),4.0)</f>
        <v>4</v>
      </c>
      <c r="H1171" s="26">
        <f>IFERROR(__xludf.DUMMYFUNCTION("""COMPUTED_VALUE"""),57.6)</f>
        <v>57.6</v>
      </c>
    </row>
    <row r="1172">
      <c r="A1172" s="26" t="str">
        <f>IFERROR(__xludf.DUMMYFUNCTION("""COMPUTED_VALUE"""),"CA-2015-132276")</f>
        <v>CA-2015-132276</v>
      </c>
      <c r="B1172" s="27">
        <f>IFERROR(__xludf.DUMMYFUNCTION("""COMPUTED_VALUE"""),42058.0)</f>
        <v>42058</v>
      </c>
      <c r="C1172" s="26" t="str">
        <f>IFERROR(__xludf.DUMMYFUNCTION("""COMPUTED_VALUE"""),"Lindsay Castell")</f>
        <v>Lindsay Castell</v>
      </c>
      <c r="D1172" s="26" t="str">
        <f>IFERROR(__xludf.DUMMYFUNCTION("""COMPUTED_VALUE"""),"Home Office")</f>
        <v>Home Office</v>
      </c>
      <c r="E1172" s="26" t="str">
        <f>IFERROR(__xludf.DUMMYFUNCTION("""COMPUTED_VALUE"""),"East")</f>
        <v>East</v>
      </c>
      <c r="F1172" s="26">
        <f>IFERROR(__xludf.DUMMYFUNCTION("""COMPUTED_VALUE"""),26.88)</f>
        <v>26.88</v>
      </c>
      <c r="G1172" s="26">
        <f>IFERROR(__xludf.DUMMYFUNCTION("""COMPUTED_VALUE"""),6.0)</f>
        <v>6</v>
      </c>
      <c r="H1172" s="26">
        <f>IFERROR(__xludf.DUMMYFUNCTION("""COMPUTED_VALUE"""),6.72)</f>
        <v>6.72</v>
      </c>
    </row>
    <row r="1173">
      <c r="A1173" s="26" t="str">
        <f>IFERROR(__xludf.DUMMYFUNCTION("""COMPUTED_VALUE"""),"CA-2015-144274")</f>
        <v>CA-2015-144274</v>
      </c>
      <c r="B1173" s="27">
        <f>IFERROR(__xludf.DUMMYFUNCTION("""COMPUTED_VALUE"""),42331.0)</f>
        <v>42331</v>
      </c>
      <c r="C1173" s="26" t="str">
        <f>IFERROR(__xludf.DUMMYFUNCTION("""COMPUTED_VALUE"""),"Pierre Wener")</f>
        <v>Pierre Wener</v>
      </c>
      <c r="D1173" s="26" t="str">
        <f>IFERROR(__xludf.DUMMYFUNCTION("""COMPUTED_VALUE"""),"Consumer")</f>
        <v>Consumer</v>
      </c>
      <c r="E1173" s="26" t="str">
        <f>IFERROR(__xludf.DUMMYFUNCTION("""COMPUTED_VALUE"""),"East")</f>
        <v>East</v>
      </c>
      <c r="F1173" s="26">
        <f>IFERROR(__xludf.DUMMYFUNCTION("""COMPUTED_VALUE"""),307.98)</f>
        <v>307.98</v>
      </c>
      <c r="G1173" s="26">
        <f>IFERROR(__xludf.DUMMYFUNCTION("""COMPUTED_VALUE"""),2.0)</f>
        <v>2</v>
      </c>
      <c r="H1173" s="26">
        <f>IFERROR(__xludf.DUMMYFUNCTION("""COMPUTED_VALUE"""),89.3142)</f>
        <v>89.3142</v>
      </c>
    </row>
    <row r="1174">
      <c r="A1174" s="26" t="str">
        <f>IFERROR(__xludf.DUMMYFUNCTION("""COMPUTED_VALUE"""),"CA-2015-115399")</f>
        <v>CA-2015-115399</v>
      </c>
      <c r="B1174" s="27">
        <f>IFERROR(__xludf.DUMMYFUNCTION("""COMPUTED_VALUE"""),42357.0)</f>
        <v>42357</v>
      </c>
      <c r="C1174" s="26" t="str">
        <f>IFERROR(__xludf.DUMMYFUNCTION("""COMPUTED_VALUE"""),"Arthur Gainer")</f>
        <v>Arthur Gainer</v>
      </c>
      <c r="D1174" s="26" t="str">
        <f>IFERROR(__xludf.DUMMYFUNCTION("""COMPUTED_VALUE"""),"Consumer")</f>
        <v>Consumer</v>
      </c>
      <c r="E1174" s="26" t="str">
        <f>IFERROR(__xludf.DUMMYFUNCTION("""COMPUTED_VALUE"""),"East")</f>
        <v>East</v>
      </c>
      <c r="F1174" s="26">
        <f>IFERROR(__xludf.DUMMYFUNCTION("""COMPUTED_VALUE"""),6.912)</f>
        <v>6.912</v>
      </c>
      <c r="G1174" s="26">
        <f>IFERROR(__xludf.DUMMYFUNCTION("""COMPUTED_VALUE"""),3.0)</f>
        <v>3</v>
      </c>
      <c r="H1174" s="26">
        <f>IFERROR(__xludf.DUMMYFUNCTION("""COMPUTED_VALUE"""),2.5056)</f>
        <v>2.5056</v>
      </c>
    </row>
    <row r="1175">
      <c r="A1175" s="26" t="str">
        <f>IFERROR(__xludf.DUMMYFUNCTION("""COMPUTED_VALUE"""),"CA-2015-153423")</f>
        <v>CA-2015-153423</v>
      </c>
      <c r="B1175" s="27">
        <f>IFERROR(__xludf.DUMMYFUNCTION("""COMPUTED_VALUE"""),42177.0)</f>
        <v>42177</v>
      </c>
      <c r="C1175" s="26" t="str">
        <f>IFERROR(__xludf.DUMMYFUNCTION("""COMPUTED_VALUE"""),"Shaun Weien")</f>
        <v>Shaun Weien</v>
      </c>
      <c r="D1175" s="26" t="str">
        <f>IFERROR(__xludf.DUMMYFUNCTION("""COMPUTED_VALUE"""),"Consumer")</f>
        <v>Consumer</v>
      </c>
      <c r="E1175" s="26" t="str">
        <f>IFERROR(__xludf.DUMMYFUNCTION("""COMPUTED_VALUE"""),"East")</f>
        <v>East</v>
      </c>
      <c r="F1175" s="26">
        <f>IFERROR(__xludf.DUMMYFUNCTION("""COMPUTED_VALUE"""),1217.568)</f>
        <v>1217.568</v>
      </c>
      <c r="G1175" s="26">
        <f>IFERROR(__xludf.DUMMYFUNCTION("""COMPUTED_VALUE"""),2.0)</f>
        <v>2</v>
      </c>
      <c r="H1175" s="26">
        <f>IFERROR(__xludf.DUMMYFUNCTION("""COMPUTED_VALUE"""),456.588)</f>
        <v>456.588</v>
      </c>
    </row>
    <row r="1176">
      <c r="A1176" s="26" t="str">
        <f>IFERROR(__xludf.DUMMYFUNCTION("""COMPUTED_VALUE"""),"US-2015-115343")</f>
        <v>US-2015-115343</v>
      </c>
      <c r="B1176" s="27">
        <f>IFERROR(__xludf.DUMMYFUNCTION("""COMPUTED_VALUE"""),42269.0)</f>
        <v>42269</v>
      </c>
      <c r="C1176" s="26" t="str">
        <f>IFERROR(__xludf.DUMMYFUNCTION("""COMPUTED_VALUE"""),"Frank Olsen")</f>
        <v>Frank Olsen</v>
      </c>
      <c r="D1176" s="26" t="str">
        <f>IFERROR(__xludf.DUMMYFUNCTION("""COMPUTED_VALUE"""),"Consumer")</f>
        <v>Consumer</v>
      </c>
      <c r="E1176" s="26" t="str">
        <f>IFERROR(__xludf.DUMMYFUNCTION("""COMPUTED_VALUE"""),"East")</f>
        <v>East</v>
      </c>
      <c r="F1176" s="26">
        <f>IFERROR(__xludf.DUMMYFUNCTION("""COMPUTED_VALUE"""),55.6)</f>
        <v>55.6</v>
      </c>
      <c r="G1176" s="26">
        <f>IFERROR(__xludf.DUMMYFUNCTION("""COMPUTED_VALUE"""),5.0)</f>
        <v>5</v>
      </c>
      <c r="H1176" s="26">
        <f>IFERROR(__xludf.DUMMYFUNCTION("""COMPUTED_VALUE"""),6.255)</f>
        <v>6.255</v>
      </c>
    </row>
    <row r="1177">
      <c r="A1177" s="26" t="str">
        <f>IFERROR(__xludf.DUMMYFUNCTION("""COMPUTED_VALUE"""),"CA-2015-125934")</f>
        <v>CA-2015-125934</v>
      </c>
      <c r="B1177" s="27">
        <f>IFERROR(__xludf.DUMMYFUNCTION("""COMPUTED_VALUE"""),42258.0)</f>
        <v>42258</v>
      </c>
      <c r="C1177" s="26" t="str">
        <f>IFERROR(__xludf.DUMMYFUNCTION("""COMPUTED_VALUE"""),"Skye Norling")</f>
        <v>Skye Norling</v>
      </c>
      <c r="D1177" s="26" t="str">
        <f>IFERROR(__xludf.DUMMYFUNCTION("""COMPUTED_VALUE"""),"Home Office")</f>
        <v>Home Office</v>
      </c>
      <c r="E1177" s="26" t="str">
        <f>IFERROR(__xludf.DUMMYFUNCTION("""COMPUTED_VALUE"""),"East")</f>
        <v>East</v>
      </c>
      <c r="F1177" s="26">
        <f>IFERROR(__xludf.DUMMYFUNCTION("""COMPUTED_VALUE"""),31.05)</f>
        <v>31.05</v>
      </c>
      <c r="G1177" s="26">
        <f>IFERROR(__xludf.DUMMYFUNCTION("""COMPUTED_VALUE"""),3.0)</f>
        <v>3</v>
      </c>
      <c r="H1177" s="26">
        <f>IFERROR(__xludf.DUMMYFUNCTION("""COMPUTED_VALUE"""),14.904)</f>
        <v>14.904</v>
      </c>
    </row>
    <row r="1178">
      <c r="A1178" s="26" t="str">
        <f>IFERROR(__xludf.DUMMYFUNCTION("""COMPUTED_VALUE"""),"CA-2015-129525")</f>
        <v>CA-2015-129525</v>
      </c>
      <c r="B1178" s="27">
        <f>IFERROR(__xludf.DUMMYFUNCTION("""COMPUTED_VALUE"""),42323.0)</f>
        <v>42323</v>
      </c>
      <c r="C1178" s="26" t="str">
        <f>IFERROR(__xludf.DUMMYFUNCTION("""COMPUTED_VALUE"""),"Victoria Pisteka")</f>
        <v>Victoria Pisteka</v>
      </c>
      <c r="D1178" s="26" t="str">
        <f>IFERROR(__xludf.DUMMYFUNCTION("""COMPUTED_VALUE"""),"Corporate")</f>
        <v>Corporate</v>
      </c>
      <c r="E1178" s="26" t="str">
        <f>IFERROR(__xludf.DUMMYFUNCTION("""COMPUTED_VALUE"""),"East")</f>
        <v>East</v>
      </c>
      <c r="F1178" s="26">
        <f>IFERROR(__xludf.DUMMYFUNCTION("""COMPUTED_VALUE"""),166.92)</f>
        <v>166.92</v>
      </c>
      <c r="G1178" s="26">
        <f>IFERROR(__xludf.DUMMYFUNCTION("""COMPUTED_VALUE"""),13.0)</f>
        <v>13</v>
      </c>
      <c r="H1178" s="26">
        <f>IFERROR(__xludf.DUMMYFUNCTION("""COMPUTED_VALUE"""),-116.844)</f>
        <v>-116.844</v>
      </c>
    </row>
    <row r="1179">
      <c r="A1179" s="26" t="str">
        <f>IFERROR(__xludf.DUMMYFUNCTION("""COMPUTED_VALUE"""),"CA-2015-165799")</f>
        <v>CA-2015-165799</v>
      </c>
      <c r="B1179" s="27">
        <f>IFERROR(__xludf.DUMMYFUNCTION("""COMPUTED_VALUE"""),42184.0)</f>
        <v>42184</v>
      </c>
      <c r="C1179" s="26" t="str">
        <f>IFERROR(__xludf.DUMMYFUNCTION("""COMPUTED_VALUE"""),"Sheri Gordon")</f>
        <v>Sheri Gordon</v>
      </c>
      <c r="D1179" s="26" t="str">
        <f>IFERROR(__xludf.DUMMYFUNCTION("""COMPUTED_VALUE"""),"Consumer")</f>
        <v>Consumer</v>
      </c>
      <c r="E1179" s="26" t="str">
        <f>IFERROR(__xludf.DUMMYFUNCTION("""COMPUTED_VALUE"""),"East")</f>
        <v>East</v>
      </c>
      <c r="F1179" s="26">
        <f>IFERROR(__xludf.DUMMYFUNCTION("""COMPUTED_VALUE"""),117.882)</f>
        <v>117.882</v>
      </c>
      <c r="G1179" s="26">
        <f>IFERROR(__xludf.DUMMYFUNCTION("""COMPUTED_VALUE"""),1.0)</f>
        <v>1</v>
      </c>
      <c r="H1179" s="26">
        <f>IFERROR(__xludf.DUMMYFUNCTION("""COMPUTED_VALUE"""),1.3098)</f>
        <v>1.3098</v>
      </c>
    </row>
    <row r="1180">
      <c r="A1180" s="26" t="str">
        <f>IFERROR(__xludf.DUMMYFUNCTION("""COMPUTED_VALUE"""),"CA-2015-166492")</f>
        <v>CA-2015-166492</v>
      </c>
      <c r="B1180" s="27">
        <f>IFERROR(__xludf.DUMMYFUNCTION("""COMPUTED_VALUE"""),42101.0)</f>
        <v>42101</v>
      </c>
      <c r="C1180" s="26" t="str">
        <f>IFERROR(__xludf.DUMMYFUNCTION("""COMPUTED_VALUE"""),"Resi Pölking")</f>
        <v>Resi Pölking</v>
      </c>
      <c r="D1180" s="26" t="str">
        <f>IFERROR(__xludf.DUMMYFUNCTION("""COMPUTED_VALUE"""),"Consumer")</f>
        <v>Consumer</v>
      </c>
      <c r="E1180" s="26" t="str">
        <f>IFERROR(__xludf.DUMMYFUNCTION("""COMPUTED_VALUE"""),"East")</f>
        <v>East</v>
      </c>
      <c r="F1180" s="26">
        <f>IFERROR(__xludf.DUMMYFUNCTION("""COMPUTED_VALUE"""),25.92)</f>
        <v>25.92</v>
      </c>
      <c r="G1180" s="26">
        <f>IFERROR(__xludf.DUMMYFUNCTION("""COMPUTED_VALUE"""),4.0)</f>
        <v>4</v>
      </c>
      <c r="H1180" s="26">
        <f>IFERROR(__xludf.DUMMYFUNCTION("""COMPUTED_VALUE"""),12.4416)</f>
        <v>12.4416</v>
      </c>
    </row>
    <row r="1181">
      <c r="A1181" s="26" t="str">
        <f>IFERROR(__xludf.DUMMYFUNCTION("""COMPUTED_VALUE"""),"CA-2015-160227")</f>
        <v>CA-2015-160227</v>
      </c>
      <c r="B1181" s="27">
        <f>IFERROR(__xludf.DUMMYFUNCTION("""COMPUTED_VALUE"""),42310.0)</f>
        <v>42310</v>
      </c>
      <c r="C1181" s="26" t="str">
        <f>IFERROR(__xludf.DUMMYFUNCTION("""COMPUTED_VALUE"""),"Emily Ducich")</f>
        <v>Emily Ducich</v>
      </c>
      <c r="D1181" s="26" t="str">
        <f>IFERROR(__xludf.DUMMYFUNCTION("""COMPUTED_VALUE"""),"Home Office")</f>
        <v>Home Office</v>
      </c>
      <c r="E1181" s="26" t="str">
        <f>IFERROR(__xludf.DUMMYFUNCTION("""COMPUTED_VALUE"""),"East")</f>
        <v>East</v>
      </c>
      <c r="F1181" s="26">
        <f>IFERROR(__xludf.DUMMYFUNCTION("""COMPUTED_VALUE"""),2621.322)</f>
        <v>2621.322</v>
      </c>
      <c r="G1181" s="26">
        <f>IFERROR(__xludf.DUMMYFUNCTION("""COMPUTED_VALUE"""),11.0)</f>
        <v>11</v>
      </c>
      <c r="H1181" s="26">
        <f>IFERROR(__xludf.DUMMYFUNCTION("""COMPUTED_VALUE"""),553.3902)</f>
        <v>553.3902</v>
      </c>
    </row>
    <row r="1182">
      <c r="A1182" s="26" t="str">
        <f>IFERROR(__xludf.DUMMYFUNCTION("""COMPUTED_VALUE"""),"US-2015-136259")</f>
        <v>US-2015-136259</v>
      </c>
      <c r="B1182" s="27">
        <f>IFERROR(__xludf.DUMMYFUNCTION("""COMPUTED_VALUE"""),42313.0)</f>
        <v>42313</v>
      </c>
      <c r="C1182" s="26" t="str">
        <f>IFERROR(__xludf.DUMMYFUNCTION("""COMPUTED_VALUE"""),"Christy Brittain")</f>
        <v>Christy Brittain</v>
      </c>
      <c r="D1182" s="26" t="str">
        <f>IFERROR(__xludf.DUMMYFUNCTION("""COMPUTED_VALUE"""),"Consumer")</f>
        <v>Consumer</v>
      </c>
      <c r="E1182" s="26" t="str">
        <f>IFERROR(__xludf.DUMMYFUNCTION("""COMPUTED_VALUE"""),"East")</f>
        <v>East</v>
      </c>
      <c r="F1182" s="26">
        <f>IFERROR(__xludf.DUMMYFUNCTION("""COMPUTED_VALUE"""),7.218)</f>
        <v>7.218</v>
      </c>
      <c r="G1182" s="26">
        <f>IFERROR(__xludf.DUMMYFUNCTION("""COMPUTED_VALUE"""),3.0)</f>
        <v>3</v>
      </c>
      <c r="H1182" s="26">
        <f>IFERROR(__xludf.DUMMYFUNCTION("""COMPUTED_VALUE"""),-5.5338)</f>
        <v>-5.5338</v>
      </c>
    </row>
    <row r="1183">
      <c r="A1183" s="26" t="str">
        <f>IFERROR(__xludf.DUMMYFUNCTION("""COMPUTED_VALUE"""),"CA-2015-162950")</f>
        <v>CA-2015-162950</v>
      </c>
      <c r="B1183" s="27">
        <f>IFERROR(__xludf.DUMMYFUNCTION("""COMPUTED_VALUE"""),42183.0)</f>
        <v>42183</v>
      </c>
      <c r="C1183" s="26" t="str">
        <f>IFERROR(__xludf.DUMMYFUNCTION("""COMPUTED_VALUE"""),"Dorothy Wardle")</f>
        <v>Dorothy Wardle</v>
      </c>
      <c r="D1183" s="26" t="str">
        <f>IFERROR(__xludf.DUMMYFUNCTION("""COMPUTED_VALUE"""),"Corporate")</f>
        <v>Corporate</v>
      </c>
      <c r="E1183" s="26" t="str">
        <f>IFERROR(__xludf.DUMMYFUNCTION("""COMPUTED_VALUE"""),"East")</f>
        <v>East</v>
      </c>
      <c r="F1183" s="26">
        <f>IFERROR(__xludf.DUMMYFUNCTION("""COMPUTED_VALUE"""),15.552)</f>
        <v>15.552</v>
      </c>
      <c r="G1183" s="26">
        <f>IFERROR(__xludf.DUMMYFUNCTION("""COMPUTED_VALUE"""),3.0)</f>
        <v>3</v>
      </c>
      <c r="H1183" s="26">
        <f>IFERROR(__xludf.DUMMYFUNCTION("""COMPUTED_VALUE"""),5.4432)</f>
        <v>5.4432</v>
      </c>
    </row>
    <row r="1184">
      <c r="A1184" s="26" t="str">
        <f>IFERROR(__xludf.DUMMYFUNCTION("""COMPUTED_VALUE"""),"US-2015-130512")</f>
        <v>US-2015-130512</v>
      </c>
      <c r="B1184" s="27">
        <f>IFERROR(__xludf.DUMMYFUNCTION("""COMPUTED_VALUE"""),42237.0)</f>
        <v>42237</v>
      </c>
      <c r="C1184" s="26" t="str">
        <f>IFERROR(__xludf.DUMMYFUNCTION("""COMPUTED_VALUE"""),"Sean Miller")</f>
        <v>Sean Miller</v>
      </c>
      <c r="D1184" s="26" t="str">
        <f>IFERROR(__xludf.DUMMYFUNCTION("""COMPUTED_VALUE"""),"Home Office")</f>
        <v>Home Office</v>
      </c>
      <c r="E1184" s="26" t="str">
        <f>IFERROR(__xludf.DUMMYFUNCTION("""COMPUTED_VALUE"""),"East")</f>
        <v>East</v>
      </c>
      <c r="F1184" s="26">
        <f>IFERROR(__xludf.DUMMYFUNCTION("""COMPUTED_VALUE"""),3.488)</f>
        <v>3.488</v>
      </c>
      <c r="G1184" s="26">
        <f>IFERROR(__xludf.DUMMYFUNCTION("""COMPUTED_VALUE"""),2.0)</f>
        <v>2</v>
      </c>
      <c r="H1184" s="26">
        <f>IFERROR(__xludf.DUMMYFUNCTION("""COMPUTED_VALUE"""),-0.6976)</f>
        <v>-0.6976</v>
      </c>
    </row>
    <row r="1185">
      <c r="A1185" s="26" t="str">
        <f>IFERROR(__xludf.DUMMYFUNCTION("""COMPUTED_VALUE"""),"US-2015-164238")</f>
        <v>US-2015-164238</v>
      </c>
      <c r="B1185" s="27">
        <f>IFERROR(__xludf.DUMMYFUNCTION("""COMPUTED_VALUE"""),42232.0)</f>
        <v>42232</v>
      </c>
      <c r="C1185" s="26" t="str">
        <f>IFERROR(__xludf.DUMMYFUNCTION("""COMPUTED_VALUE"""),"Joni Wasserman")</f>
        <v>Joni Wasserman</v>
      </c>
      <c r="D1185" s="26" t="str">
        <f>IFERROR(__xludf.DUMMYFUNCTION("""COMPUTED_VALUE"""),"Consumer")</f>
        <v>Consumer</v>
      </c>
      <c r="E1185" s="26" t="str">
        <f>IFERROR(__xludf.DUMMYFUNCTION("""COMPUTED_VALUE"""),"East")</f>
        <v>East</v>
      </c>
      <c r="F1185" s="26">
        <f>IFERROR(__xludf.DUMMYFUNCTION("""COMPUTED_VALUE"""),44.688)</f>
        <v>44.688</v>
      </c>
      <c r="G1185" s="26">
        <f>IFERROR(__xludf.DUMMYFUNCTION("""COMPUTED_VALUE"""),7.0)</f>
        <v>7</v>
      </c>
      <c r="H1185" s="26">
        <f>IFERROR(__xludf.DUMMYFUNCTION("""COMPUTED_VALUE"""),3.3516)</f>
        <v>3.3516</v>
      </c>
    </row>
    <row r="1186">
      <c r="A1186" s="26" t="str">
        <f>IFERROR(__xludf.DUMMYFUNCTION("""COMPUTED_VALUE"""),"CA-2015-151869")</f>
        <v>CA-2015-151869</v>
      </c>
      <c r="B1186" s="27">
        <f>IFERROR(__xludf.DUMMYFUNCTION("""COMPUTED_VALUE"""),42272.0)</f>
        <v>42272</v>
      </c>
      <c r="C1186" s="26" t="str">
        <f>IFERROR(__xludf.DUMMYFUNCTION("""COMPUTED_VALUE"""),"Carlos Soltero")</f>
        <v>Carlos Soltero</v>
      </c>
      <c r="D1186" s="26" t="str">
        <f>IFERROR(__xludf.DUMMYFUNCTION("""COMPUTED_VALUE"""),"Consumer")</f>
        <v>Consumer</v>
      </c>
      <c r="E1186" s="26" t="str">
        <f>IFERROR(__xludf.DUMMYFUNCTION("""COMPUTED_VALUE"""),"East")</f>
        <v>East</v>
      </c>
      <c r="F1186" s="26">
        <f>IFERROR(__xludf.DUMMYFUNCTION("""COMPUTED_VALUE"""),102.582)</f>
        <v>102.582</v>
      </c>
      <c r="G1186" s="26">
        <f>IFERROR(__xludf.DUMMYFUNCTION("""COMPUTED_VALUE"""),1.0)</f>
        <v>1</v>
      </c>
      <c r="H1186" s="26">
        <f>IFERROR(__xludf.DUMMYFUNCTION("""COMPUTED_VALUE"""),6.8388)</f>
        <v>6.8388</v>
      </c>
    </row>
    <row r="1187">
      <c r="A1187" s="26" t="str">
        <f>IFERROR(__xludf.DUMMYFUNCTION("""COMPUTED_VALUE"""),"US-2015-153283")</f>
        <v>US-2015-153283</v>
      </c>
      <c r="B1187" s="27">
        <f>IFERROR(__xludf.DUMMYFUNCTION("""COMPUTED_VALUE"""),42320.0)</f>
        <v>42320</v>
      </c>
      <c r="C1187" s="26" t="str">
        <f>IFERROR(__xludf.DUMMYFUNCTION("""COMPUTED_VALUE"""),"Eugene Barchas")</f>
        <v>Eugene Barchas</v>
      </c>
      <c r="D1187" s="26" t="str">
        <f>IFERROR(__xludf.DUMMYFUNCTION("""COMPUTED_VALUE"""),"Consumer")</f>
        <v>Consumer</v>
      </c>
      <c r="E1187" s="26" t="str">
        <f>IFERROR(__xludf.DUMMYFUNCTION("""COMPUTED_VALUE"""),"East")</f>
        <v>East</v>
      </c>
      <c r="F1187" s="26">
        <f>IFERROR(__xludf.DUMMYFUNCTION("""COMPUTED_VALUE"""),15.56)</f>
        <v>15.56</v>
      </c>
      <c r="G1187" s="26">
        <f>IFERROR(__xludf.DUMMYFUNCTION("""COMPUTED_VALUE"""),2.0)</f>
        <v>2</v>
      </c>
      <c r="H1187" s="26">
        <f>IFERROR(__xludf.DUMMYFUNCTION("""COMPUTED_VALUE"""),7.3132)</f>
        <v>7.3132</v>
      </c>
    </row>
    <row r="1188">
      <c r="A1188" s="26" t="str">
        <f>IFERROR(__xludf.DUMMYFUNCTION("""COMPUTED_VALUE"""),"CA-2015-111339")</f>
        <v>CA-2015-111339</v>
      </c>
      <c r="B1188" s="27">
        <f>IFERROR(__xludf.DUMMYFUNCTION("""COMPUTED_VALUE"""),42153.0)</f>
        <v>42153</v>
      </c>
      <c r="C1188" s="26" t="str">
        <f>IFERROR(__xludf.DUMMYFUNCTION("""COMPUTED_VALUE"""),"Victoria Pisteka")</f>
        <v>Victoria Pisteka</v>
      </c>
      <c r="D1188" s="26" t="str">
        <f>IFERROR(__xludf.DUMMYFUNCTION("""COMPUTED_VALUE"""),"Corporate")</f>
        <v>Corporate</v>
      </c>
      <c r="E1188" s="26" t="str">
        <f>IFERROR(__xludf.DUMMYFUNCTION("""COMPUTED_VALUE"""),"East")</f>
        <v>East</v>
      </c>
      <c r="F1188" s="26">
        <f>IFERROR(__xludf.DUMMYFUNCTION("""COMPUTED_VALUE"""),41.568)</f>
        <v>41.568</v>
      </c>
      <c r="G1188" s="26">
        <f>IFERROR(__xludf.DUMMYFUNCTION("""COMPUTED_VALUE"""),4.0)</f>
        <v>4</v>
      </c>
      <c r="H1188" s="26">
        <f>IFERROR(__xludf.DUMMYFUNCTION("""COMPUTED_VALUE"""),-4.1568)</f>
        <v>-4.1568</v>
      </c>
    </row>
    <row r="1189">
      <c r="A1189" s="26" t="str">
        <f>IFERROR(__xludf.DUMMYFUNCTION("""COMPUTED_VALUE"""),"CA-2015-111864")</f>
        <v>CA-2015-111864</v>
      </c>
      <c r="B1189" s="27">
        <f>IFERROR(__xludf.DUMMYFUNCTION("""COMPUTED_VALUE"""),42174.0)</f>
        <v>42174</v>
      </c>
      <c r="C1189" s="26" t="str">
        <f>IFERROR(__xludf.DUMMYFUNCTION("""COMPUTED_VALUE"""),"Paul Prost")</f>
        <v>Paul Prost</v>
      </c>
      <c r="D1189" s="26" t="str">
        <f>IFERROR(__xludf.DUMMYFUNCTION("""COMPUTED_VALUE"""),"Home Office")</f>
        <v>Home Office</v>
      </c>
      <c r="E1189" s="26" t="str">
        <f>IFERROR(__xludf.DUMMYFUNCTION("""COMPUTED_VALUE"""),"East")</f>
        <v>East</v>
      </c>
      <c r="F1189" s="26">
        <f>IFERROR(__xludf.DUMMYFUNCTION("""COMPUTED_VALUE"""),5.904)</f>
        <v>5.904</v>
      </c>
      <c r="G1189" s="26">
        <f>IFERROR(__xludf.DUMMYFUNCTION("""COMPUTED_VALUE"""),2.0)</f>
        <v>2</v>
      </c>
      <c r="H1189" s="26">
        <f>IFERROR(__xludf.DUMMYFUNCTION("""COMPUTED_VALUE"""),1.9926)</f>
        <v>1.9926</v>
      </c>
    </row>
    <row r="1190">
      <c r="A1190" s="26" t="str">
        <f>IFERROR(__xludf.DUMMYFUNCTION("""COMPUTED_VALUE"""),"CA-2015-160787")</f>
        <v>CA-2015-160787</v>
      </c>
      <c r="B1190" s="27">
        <f>IFERROR(__xludf.DUMMYFUNCTION("""COMPUTED_VALUE"""),42272.0)</f>
        <v>42272</v>
      </c>
      <c r="C1190" s="26" t="str">
        <f>IFERROR(__xludf.DUMMYFUNCTION("""COMPUTED_VALUE"""),"Bryan Mills")</f>
        <v>Bryan Mills</v>
      </c>
      <c r="D1190" s="26" t="str">
        <f>IFERROR(__xludf.DUMMYFUNCTION("""COMPUTED_VALUE"""),"Consumer")</f>
        <v>Consumer</v>
      </c>
      <c r="E1190" s="26" t="str">
        <f>IFERROR(__xludf.DUMMYFUNCTION("""COMPUTED_VALUE"""),"East")</f>
        <v>East</v>
      </c>
      <c r="F1190" s="26">
        <f>IFERROR(__xludf.DUMMYFUNCTION("""COMPUTED_VALUE"""),2.946)</f>
        <v>2.946</v>
      </c>
      <c r="G1190" s="26">
        <f>IFERROR(__xludf.DUMMYFUNCTION("""COMPUTED_VALUE"""),2.0)</f>
        <v>2</v>
      </c>
      <c r="H1190" s="26">
        <f>IFERROR(__xludf.DUMMYFUNCTION("""COMPUTED_VALUE"""),-2.0622)</f>
        <v>-2.0622</v>
      </c>
    </row>
    <row r="1191">
      <c r="A1191" s="26" t="str">
        <f>IFERROR(__xludf.DUMMYFUNCTION("""COMPUTED_VALUE"""),"CA-2015-158351")</f>
        <v>CA-2015-158351</v>
      </c>
      <c r="B1191" s="27">
        <f>IFERROR(__xludf.DUMMYFUNCTION("""COMPUTED_VALUE"""),42175.0)</f>
        <v>42175</v>
      </c>
      <c r="C1191" s="26" t="str">
        <f>IFERROR(__xludf.DUMMYFUNCTION("""COMPUTED_VALUE"""),"Becky Castell")</f>
        <v>Becky Castell</v>
      </c>
      <c r="D1191" s="26" t="str">
        <f>IFERROR(__xludf.DUMMYFUNCTION("""COMPUTED_VALUE"""),"Home Office")</f>
        <v>Home Office</v>
      </c>
      <c r="E1191" s="26" t="str">
        <f>IFERROR(__xludf.DUMMYFUNCTION("""COMPUTED_VALUE"""),"East")</f>
        <v>East</v>
      </c>
      <c r="F1191" s="26">
        <f>IFERROR(__xludf.DUMMYFUNCTION("""COMPUTED_VALUE"""),319.984)</f>
        <v>319.984</v>
      </c>
      <c r="G1191" s="26">
        <f>IFERROR(__xludf.DUMMYFUNCTION("""COMPUTED_VALUE"""),2.0)</f>
        <v>2</v>
      </c>
      <c r="H1191" s="26">
        <f>IFERROR(__xludf.DUMMYFUNCTION("""COMPUTED_VALUE"""),91.9954)</f>
        <v>91.9954</v>
      </c>
    </row>
    <row r="1192">
      <c r="A1192" s="26" t="str">
        <f>IFERROR(__xludf.DUMMYFUNCTION("""COMPUTED_VALUE"""),"CA-2015-123939")</f>
        <v>CA-2015-123939</v>
      </c>
      <c r="B1192" s="27">
        <f>IFERROR(__xludf.DUMMYFUNCTION("""COMPUTED_VALUE"""),42240.0)</f>
        <v>42240</v>
      </c>
      <c r="C1192" s="26" t="str">
        <f>IFERROR(__xludf.DUMMYFUNCTION("""COMPUTED_VALUE"""),"Maurice Satty")</f>
        <v>Maurice Satty</v>
      </c>
      <c r="D1192" s="26" t="str">
        <f>IFERROR(__xludf.DUMMYFUNCTION("""COMPUTED_VALUE"""),"Consumer")</f>
        <v>Consumer</v>
      </c>
      <c r="E1192" s="26" t="str">
        <f>IFERROR(__xludf.DUMMYFUNCTION("""COMPUTED_VALUE"""),"East")</f>
        <v>East</v>
      </c>
      <c r="F1192" s="26">
        <f>IFERROR(__xludf.DUMMYFUNCTION("""COMPUTED_VALUE"""),26.982)</f>
        <v>26.982</v>
      </c>
      <c r="G1192" s="26">
        <f>IFERROR(__xludf.DUMMYFUNCTION("""COMPUTED_VALUE"""),3.0)</f>
        <v>3</v>
      </c>
      <c r="H1192" s="26">
        <f>IFERROR(__xludf.DUMMYFUNCTION("""COMPUTED_VALUE"""),4.0473)</f>
        <v>4.0473</v>
      </c>
    </row>
    <row r="1193">
      <c r="A1193" s="26" t="str">
        <f>IFERROR(__xludf.DUMMYFUNCTION("""COMPUTED_VALUE"""),"CA-2015-147690")</f>
        <v>CA-2015-147690</v>
      </c>
      <c r="B1193" s="27">
        <f>IFERROR(__xludf.DUMMYFUNCTION("""COMPUTED_VALUE"""),42318.0)</f>
        <v>42318</v>
      </c>
      <c r="C1193" s="26" t="str">
        <f>IFERROR(__xludf.DUMMYFUNCTION("""COMPUTED_VALUE"""),"Sam Craven")</f>
        <v>Sam Craven</v>
      </c>
      <c r="D1193" s="26" t="str">
        <f>IFERROR(__xludf.DUMMYFUNCTION("""COMPUTED_VALUE"""),"Consumer")</f>
        <v>Consumer</v>
      </c>
      <c r="E1193" s="26" t="str">
        <f>IFERROR(__xludf.DUMMYFUNCTION("""COMPUTED_VALUE"""),"East")</f>
        <v>East</v>
      </c>
      <c r="F1193" s="26">
        <f>IFERROR(__xludf.DUMMYFUNCTION("""COMPUTED_VALUE"""),577.584)</f>
        <v>577.584</v>
      </c>
      <c r="G1193" s="26">
        <f>IFERROR(__xludf.DUMMYFUNCTION("""COMPUTED_VALUE"""),6.0)</f>
        <v>6</v>
      </c>
      <c r="H1193" s="26">
        <f>IFERROR(__xludf.DUMMYFUNCTION("""COMPUTED_VALUE"""),43.3188)</f>
        <v>43.3188</v>
      </c>
    </row>
    <row r="1194">
      <c r="A1194" s="26" t="str">
        <f>IFERROR(__xludf.DUMMYFUNCTION("""COMPUTED_VALUE"""),"CA-2015-111612")</f>
        <v>CA-2015-111612</v>
      </c>
      <c r="B1194" s="27">
        <f>IFERROR(__xludf.DUMMYFUNCTION("""COMPUTED_VALUE"""),42336.0)</f>
        <v>42336</v>
      </c>
      <c r="C1194" s="26" t="str">
        <f>IFERROR(__xludf.DUMMYFUNCTION("""COMPUTED_VALUE"""),"Eugene Barchas")</f>
        <v>Eugene Barchas</v>
      </c>
      <c r="D1194" s="26" t="str">
        <f>IFERROR(__xludf.DUMMYFUNCTION("""COMPUTED_VALUE"""),"Consumer")</f>
        <v>Consumer</v>
      </c>
      <c r="E1194" s="26" t="str">
        <f>IFERROR(__xludf.DUMMYFUNCTION("""COMPUTED_VALUE"""),"East")</f>
        <v>East</v>
      </c>
      <c r="F1194" s="26">
        <f>IFERROR(__xludf.DUMMYFUNCTION("""COMPUTED_VALUE"""),71.12)</f>
        <v>71.12</v>
      </c>
      <c r="G1194" s="26">
        <f>IFERROR(__xludf.DUMMYFUNCTION("""COMPUTED_VALUE"""),5.0)</f>
        <v>5</v>
      </c>
      <c r="H1194" s="26">
        <f>IFERROR(__xludf.DUMMYFUNCTION("""COMPUTED_VALUE"""),9.779)</f>
        <v>9.779</v>
      </c>
    </row>
    <row r="1195">
      <c r="A1195" s="26" t="str">
        <f>IFERROR(__xludf.DUMMYFUNCTION("""COMPUTED_VALUE"""),"CA-2015-156853")</f>
        <v>CA-2015-156853</v>
      </c>
      <c r="B1195" s="27">
        <f>IFERROR(__xludf.DUMMYFUNCTION("""COMPUTED_VALUE"""),42341.0)</f>
        <v>42341</v>
      </c>
      <c r="C1195" s="26" t="str">
        <f>IFERROR(__xludf.DUMMYFUNCTION("""COMPUTED_VALUE"""),"Harold Pawlan")</f>
        <v>Harold Pawlan</v>
      </c>
      <c r="D1195" s="26" t="str">
        <f>IFERROR(__xludf.DUMMYFUNCTION("""COMPUTED_VALUE"""),"Home Office")</f>
        <v>Home Office</v>
      </c>
      <c r="E1195" s="26" t="str">
        <f>IFERROR(__xludf.DUMMYFUNCTION("""COMPUTED_VALUE"""),"East")</f>
        <v>East</v>
      </c>
      <c r="F1195" s="26">
        <f>IFERROR(__xludf.DUMMYFUNCTION("""COMPUTED_VALUE"""),184.66)</f>
        <v>184.66</v>
      </c>
      <c r="G1195" s="26">
        <f>IFERROR(__xludf.DUMMYFUNCTION("""COMPUTED_VALUE"""),7.0)</f>
        <v>7</v>
      </c>
      <c r="H1195" s="26">
        <f>IFERROR(__xludf.DUMMYFUNCTION("""COMPUTED_VALUE"""),84.9436)</f>
        <v>84.9436</v>
      </c>
    </row>
    <row r="1196">
      <c r="A1196" s="26" t="str">
        <f>IFERROR(__xludf.DUMMYFUNCTION("""COMPUTED_VALUE"""),"CA-2015-113131")</f>
        <v>CA-2015-113131</v>
      </c>
      <c r="B1196" s="27">
        <f>IFERROR(__xludf.DUMMYFUNCTION("""COMPUTED_VALUE"""),42271.0)</f>
        <v>42271</v>
      </c>
      <c r="C1196" s="26" t="str">
        <f>IFERROR(__xludf.DUMMYFUNCTION("""COMPUTED_VALUE"""),"Maria Bertelson")</f>
        <v>Maria Bertelson</v>
      </c>
      <c r="D1196" s="26" t="str">
        <f>IFERROR(__xludf.DUMMYFUNCTION("""COMPUTED_VALUE"""),"Consumer")</f>
        <v>Consumer</v>
      </c>
      <c r="E1196" s="26" t="str">
        <f>IFERROR(__xludf.DUMMYFUNCTION("""COMPUTED_VALUE"""),"East")</f>
        <v>East</v>
      </c>
      <c r="F1196" s="26">
        <f>IFERROR(__xludf.DUMMYFUNCTION("""COMPUTED_VALUE"""),6.732)</f>
        <v>6.732</v>
      </c>
      <c r="G1196" s="26">
        <f>IFERROR(__xludf.DUMMYFUNCTION("""COMPUTED_VALUE"""),6.0)</f>
        <v>6</v>
      </c>
      <c r="H1196" s="26">
        <f>IFERROR(__xludf.DUMMYFUNCTION("""COMPUTED_VALUE"""),-4.488)</f>
        <v>-4.488</v>
      </c>
    </row>
    <row r="1197">
      <c r="A1197" s="26" t="str">
        <f>IFERROR(__xludf.DUMMYFUNCTION("""COMPUTED_VALUE"""),"CA-2015-107902")</f>
        <v>CA-2015-107902</v>
      </c>
      <c r="B1197" s="27">
        <f>IFERROR(__xludf.DUMMYFUNCTION("""COMPUTED_VALUE"""),42244.0)</f>
        <v>42244</v>
      </c>
      <c r="C1197" s="26" t="str">
        <f>IFERROR(__xludf.DUMMYFUNCTION("""COMPUTED_VALUE"""),"Suzanne McNair")</f>
        <v>Suzanne McNair</v>
      </c>
      <c r="D1197" s="26" t="str">
        <f>IFERROR(__xludf.DUMMYFUNCTION("""COMPUTED_VALUE"""),"Corporate")</f>
        <v>Corporate</v>
      </c>
      <c r="E1197" s="26" t="str">
        <f>IFERROR(__xludf.DUMMYFUNCTION("""COMPUTED_VALUE"""),"East")</f>
        <v>East</v>
      </c>
      <c r="F1197" s="26">
        <f>IFERROR(__xludf.DUMMYFUNCTION("""COMPUTED_VALUE"""),470.36)</f>
        <v>470.36</v>
      </c>
      <c r="G1197" s="26">
        <f>IFERROR(__xludf.DUMMYFUNCTION("""COMPUTED_VALUE"""),11.0)</f>
        <v>11</v>
      </c>
      <c r="H1197" s="26">
        <f>IFERROR(__xludf.DUMMYFUNCTION("""COMPUTED_VALUE"""),122.2936)</f>
        <v>122.2936</v>
      </c>
    </row>
    <row r="1198">
      <c r="A1198" s="26" t="str">
        <f>IFERROR(__xludf.DUMMYFUNCTION("""COMPUTED_VALUE"""),"CA-2015-117086")</f>
        <v>CA-2015-117086</v>
      </c>
      <c r="B1198" s="27">
        <f>IFERROR(__xludf.DUMMYFUNCTION("""COMPUTED_VALUE"""),42316.0)</f>
        <v>42316</v>
      </c>
      <c r="C1198" s="26" t="str">
        <f>IFERROR(__xludf.DUMMYFUNCTION("""COMPUTED_VALUE"""),"Quincy Jones")</f>
        <v>Quincy Jones</v>
      </c>
      <c r="D1198" s="26" t="str">
        <f>IFERROR(__xludf.DUMMYFUNCTION("""COMPUTED_VALUE"""),"Corporate")</f>
        <v>Corporate</v>
      </c>
      <c r="E1198" s="26" t="str">
        <f>IFERROR(__xludf.DUMMYFUNCTION("""COMPUTED_VALUE"""),"East")</f>
        <v>East</v>
      </c>
      <c r="F1198" s="26">
        <f>IFERROR(__xludf.DUMMYFUNCTION("""COMPUTED_VALUE"""),4404.9)</f>
        <v>4404.9</v>
      </c>
      <c r="G1198" s="26">
        <f>IFERROR(__xludf.DUMMYFUNCTION("""COMPUTED_VALUE"""),5.0)</f>
        <v>5</v>
      </c>
      <c r="H1198" s="26">
        <f>IFERROR(__xludf.DUMMYFUNCTION("""COMPUTED_VALUE"""),1013.127)</f>
        <v>1013.127</v>
      </c>
    </row>
    <row r="1199">
      <c r="A1199" s="26" t="str">
        <f>IFERROR(__xludf.DUMMYFUNCTION("""COMPUTED_VALUE"""),"CA-2015-149748")</f>
        <v>CA-2015-149748</v>
      </c>
      <c r="B1199" s="27">
        <f>IFERROR(__xludf.DUMMYFUNCTION("""COMPUTED_VALUE"""),42155.0)</f>
        <v>42155</v>
      </c>
      <c r="C1199" s="26" t="str">
        <f>IFERROR(__xludf.DUMMYFUNCTION("""COMPUTED_VALUE"""),"Elizabeth Moffitt")</f>
        <v>Elizabeth Moffitt</v>
      </c>
      <c r="D1199" s="26" t="str">
        <f>IFERROR(__xludf.DUMMYFUNCTION("""COMPUTED_VALUE"""),"Corporate")</f>
        <v>Corporate</v>
      </c>
      <c r="E1199" s="26" t="str">
        <f>IFERROR(__xludf.DUMMYFUNCTION("""COMPUTED_VALUE"""),"East")</f>
        <v>East</v>
      </c>
      <c r="F1199" s="26">
        <f>IFERROR(__xludf.DUMMYFUNCTION("""COMPUTED_VALUE"""),274.8)</f>
        <v>274.8</v>
      </c>
      <c r="G1199" s="26">
        <f>IFERROR(__xludf.DUMMYFUNCTION("""COMPUTED_VALUE"""),5.0)</f>
        <v>5</v>
      </c>
      <c r="H1199" s="26">
        <f>IFERROR(__xludf.DUMMYFUNCTION("""COMPUTED_VALUE"""),134.652)</f>
        <v>134.652</v>
      </c>
    </row>
    <row r="1200">
      <c r="A1200" s="26" t="str">
        <f>IFERROR(__xludf.DUMMYFUNCTION("""COMPUTED_VALUE"""),"CA-2015-128608")</f>
        <v>CA-2015-128608</v>
      </c>
      <c r="B1200" s="27">
        <f>IFERROR(__xludf.DUMMYFUNCTION("""COMPUTED_VALUE"""),42016.0)</f>
        <v>42016</v>
      </c>
      <c r="C1200" s="26" t="str">
        <f>IFERROR(__xludf.DUMMYFUNCTION("""COMPUTED_VALUE"""),"Cindy Schnelling")</f>
        <v>Cindy Schnelling</v>
      </c>
      <c r="D1200" s="26" t="str">
        <f>IFERROR(__xludf.DUMMYFUNCTION("""COMPUTED_VALUE"""),"Corporate")</f>
        <v>Corporate</v>
      </c>
      <c r="E1200" s="26" t="str">
        <f>IFERROR(__xludf.DUMMYFUNCTION("""COMPUTED_VALUE"""),"East")</f>
        <v>East</v>
      </c>
      <c r="F1200" s="26">
        <f>IFERROR(__xludf.DUMMYFUNCTION("""COMPUTED_VALUE"""),10.368)</f>
        <v>10.368</v>
      </c>
      <c r="G1200" s="26">
        <f>IFERROR(__xludf.DUMMYFUNCTION("""COMPUTED_VALUE"""),2.0)</f>
        <v>2</v>
      </c>
      <c r="H1200" s="26">
        <f>IFERROR(__xludf.DUMMYFUNCTION("""COMPUTED_VALUE"""),1.5552)</f>
        <v>1.5552</v>
      </c>
    </row>
    <row r="1201">
      <c r="A1201" s="26" t="str">
        <f>IFERROR(__xludf.DUMMYFUNCTION("""COMPUTED_VALUE"""),"CA-2015-122973")</f>
        <v>CA-2015-122973</v>
      </c>
      <c r="B1201" s="27">
        <f>IFERROR(__xludf.DUMMYFUNCTION("""COMPUTED_VALUE"""),42203.0)</f>
        <v>42203</v>
      </c>
      <c r="C1201" s="26" t="str">
        <f>IFERROR(__xludf.DUMMYFUNCTION("""COMPUTED_VALUE"""),"Pauline Johnson")</f>
        <v>Pauline Johnson</v>
      </c>
      <c r="D1201" s="26" t="str">
        <f>IFERROR(__xludf.DUMMYFUNCTION("""COMPUTED_VALUE"""),"Consumer")</f>
        <v>Consumer</v>
      </c>
      <c r="E1201" s="26" t="str">
        <f>IFERROR(__xludf.DUMMYFUNCTION("""COMPUTED_VALUE"""),"East")</f>
        <v>East</v>
      </c>
      <c r="F1201" s="26">
        <f>IFERROR(__xludf.DUMMYFUNCTION("""COMPUTED_VALUE"""),3.328)</f>
        <v>3.328</v>
      </c>
      <c r="G1201" s="26">
        <f>IFERROR(__xludf.DUMMYFUNCTION("""COMPUTED_VALUE"""),2.0)</f>
        <v>2</v>
      </c>
      <c r="H1201" s="26">
        <f>IFERROR(__xludf.DUMMYFUNCTION("""COMPUTED_VALUE"""),1.2064)</f>
        <v>1.2064</v>
      </c>
    </row>
    <row r="1202">
      <c r="A1202" s="26" t="str">
        <f>IFERROR(__xludf.DUMMYFUNCTION("""COMPUTED_VALUE"""),"US-2015-116981")</f>
        <v>US-2015-116981</v>
      </c>
      <c r="B1202" s="27">
        <f>IFERROR(__xludf.DUMMYFUNCTION("""COMPUTED_VALUE"""),42089.0)</f>
        <v>42089</v>
      </c>
      <c r="C1202" s="26" t="str">
        <f>IFERROR(__xludf.DUMMYFUNCTION("""COMPUTED_VALUE"""),"Suzanne McNair")</f>
        <v>Suzanne McNair</v>
      </c>
      <c r="D1202" s="26" t="str">
        <f>IFERROR(__xludf.DUMMYFUNCTION("""COMPUTED_VALUE"""),"Corporate")</f>
        <v>Corporate</v>
      </c>
      <c r="E1202" s="26" t="str">
        <f>IFERROR(__xludf.DUMMYFUNCTION("""COMPUTED_VALUE"""),"East")</f>
        <v>East</v>
      </c>
      <c r="F1202" s="26">
        <f>IFERROR(__xludf.DUMMYFUNCTION("""COMPUTED_VALUE"""),1085.42)</f>
        <v>1085.42</v>
      </c>
      <c r="G1202" s="26">
        <f>IFERROR(__xludf.DUMMYFUNCTION("""COMPUTED_VALUE"""),7.0)</f>
        <v>7</v>
      </c>
      <c r="H1202" s="26">
        <f>IFERROR(__xludf.DUMMYFUNCTION("""COMPUTED_VALUE"""),282.2092)</f>
        <v>282.2092</v>
      </c>
    </row>
    <row r="1203">
      <c r="A1203" s="26" t="str">
        <f>IFERROR(__xludf.DUMMYFUNCTION("""COMPUTED_VALUE"""),"CA-2015-130855")</f>
        <v>CA-2015-130855</v>
      </c>
      <c r="B1203" s="27">
        <f>IFERROR(__xludf.DUMMYFUNCTION("""COMPUTED_VALUE"""),42367.0)</f>
        <v>42367</v>
      </c>
      <c r="C1203" s="26" t="str">
        <f>IFERROR(__xludf.DUMMYFUNCTION("""COMPUTED_VALUE"""),"Roy Französisch")</f>
        <v>Roy Französisch</v>
      </c>
      <c r="D1203" s="26" t="str">
        <f>IFERROR(__xludf.DUMMYFUNCTION("""COMPUTED_VALUE"""),"Consumer")</f>
        <v>Consumer</v>
      </c>
      <c r="E1203" s="26" t="str">
        <f>IFERROR(__xludf.DUMMYFUNCTION("""COMPUTED_VALUE"""),"East")</f>
        <v>East</v>
      </c>
      <c r="F1203" s="26">
        <f>IFERROR(__xludf.DUMMYFUNCTION("""COMPUTED_VALUE"""),6.36)</f>
        <v>6.36</v>
      </c>
      <c r="G1203" s="26">
        <f>IFERROR(__xludf.DUMMYFUNCTION("""COMPUTED_VALUE"""),2.0)</f>
        <v>2</v>
      </c>
      <c r="H1203" s="26">
        <f>IFERROR(__xludf.DUMMYFUNCTION("""COMPUTED_VALUE"""),0.0636)</f>
        <v>0.0636</v>
      </c>
    </row>
    <row r="1204">
      <c r="A1204" s="26" t="str">
        <f>IFERROR(__xludf.DUMMYFUNCTION("""COMPUTED_VALUE"""),"CA-2015-104297")</f>
        <v>CA-2015-104297</v>
      </c>
      <c r="B1204" s="27">
        <f>IFERROR(__xludf.DUMMYFUNCTION("""COMPUTED_VALUE"""),42153.0)</f>
        <v>42153</v>
      </c>
      <c r="C1204" s="26" t="str">
        <f>IFERROR(__xludf.DUMMYFUNCTION("""COMPUTED_VALUE"""),"Chad Cunningham")</f>
        <v>Chad Cunningham</v>
      </c>
      <c r="D1204" s="26" t="str">
        <f>IFERROR(__xludf.DUMMYFUNCTION("""COMPUTED_VALUE"""),"Home Office")</f>
        <v>Home Office</v>
      </c>
      <c r="E1204" s="26" t="str">
        <f>IFERROR(__xludf.DUMMYFUNCTION("""COMPUTED_VALUE"""),"East")</f>
        <v>East</v>
      </c>
      <c r="F1204" s="26">
        <f>IFERROR(__xludf.DUMMYFUNCTION("""COMPUTED_VALUE"""),85.056)</f>
        <v>85.056</v>
      </c>
      <c r="G1204" s="26">
        <f>IFERROR(__xludf.DUMMYFUNCTION("""COMPUTED_VALUE"""),3.0)</f>
        <v>3</v>
      </c>
      <c r="H1204" s="26">
        <f>IFERROR(__xludf.DUMMYFUNCTION("""COMPUTED_VALUE"""),28.7064)</f>
        <v>28.7064</v>
      </c>
    </row>
    <row r="1205">
      <c r="A1205" s="26" t="str">
        <f>IFERROR(__xludf.DUMMYFUNCTION("""COMPUTED_VALUE"""),"CA-2015-127544")</f>
        <v>CA-2015-127544</v>
      </c>
      <c r="B1205" s="27">
        <f>IFERROR(__xludf.DUMMYFUNCTION("""COMPUTED_VALUE"""),42224.0)</f>
        <v>42224</v>
      </c>
      <c r="C1205" s="26" t="str">
        <f>IFERROR(__xludf.DUMMYFUNCTION("""COMPUTED_VALUE"""),"Rob Dowd")</f>
        <v>Rob Dowd</v>
      </c>
      <c r="D1205" s="26" t="str">
        <f>IFERROR(__xludf.DUMMYFUNCTION("""COMPUTED_VALUE"""),"Consumer")</f>
        <v>Consumer</v>
      </c>
      <c r="E1205" s="26" t="str">
        <f>IFERROR(__xludf.DUMMYFUNCTION("""COMPUTED_VALUE"""),"East")</f>
        <v>East</v>
      </c>
      <c r="F1205" s="26">
        <f>IFERROR(__xludf.DUMMYFUNCTION("""COMPUTED_VALUE"""),79.99)</f>
        <v>79.99</v>
      </c>
      <c r="G1205" s="26">
        <f>IFERROR(__xludf.DUMMYFUNCTION("""COMPUTED_VALUE"""),1.0)</f>
        <v>1</v>
      </c>
      <c r="H1205" s="26">
        <f>IFERROR(__xludf.DUMMYFUNCTION("""COMPUTED_VALUE"""),28.7964)</f>
        <v>28.7964</v>
      </c>
    </row>
    <row r="1206">
      <c r="A1206" s="26" t="str">
        <f>IFERROR(__xludf.DUMMYFUNCTION("""COMPUTED_VALUE"""),"CA-2015-105508")</f>
        <v>CA-2015-105508</v>
      </c>
      <c r="B1206" s="27">
        <f>IFERROR(__xludf.DUMMYFUNCTION("""COMPUTED_VALUE"""),42271.0)</f>
        <v>42271</v>
      </c>
      <c r="C1206" s="26" t="str">
        <f>IFERROR(__xludf.DUMMYFUNCTION("""COMPUTED_VALUE"""),"Jamie Frazer")</f>
        <v>Jamie Frazer</v>
      </c>
      <c r="D1206" s="26" t="str">
        <f>IFERROR(__xludf.DUMMYFUNCTION("""COMPUTED_VALUE"""),"Consumer")</f>
        <v>Consumer</v>
      </c>
      <c r="E1206" s="26" t="str">
        <f>IFERROR(__xludf.DUMMYFUNCTION("""COMPUTED_VALUE"""),"East")</f>
        <v>East</v>
      </c>
      <c r="F1206" s="26">
        <f>IFERROR(__xludf.DUMMYFUNCTION("""COMPUTED_VALUE"""),39.98)</f>
        <v>39.98</v>
      </c>
      <c r="G1206" s="26">
        <f>IFERROR(__xludf.DUMMYFUNCTION("""COMPUTED_VALUE"""),1.0)</f>
        <v>1</v>
      </c>
      <c r="H1206" s="26">
        <f>IFERROR(__xludf.DUMMYFUNCTION("""COMPUTED_VALUE"""),17.991)</f>
        <v>17.991</v>
      </c>
    </row>
    <row r="1207">
      <c r="A1207" s="26" t="str">
        <f>IFERROR(__xludf.DUMMYFUNCTION("""COMPUTED_VALUE"""),"CA-2015-159534")</f>
        <v>CA-2015-159534</v>
      </c>
      <c r="B1207" s="27">
        <f>IFERROR(__xludf.DUMMYFUNCTION("""COMPUTED_VALUE"""),42083.0)</f>
        <v>42083</v>
      </c>
      <c r="C1207" s="26" t="str">
        <f>IFERROR(__xludf.DUMMYFUNCTION("""COMPUTED_VALUE"""),"Dave Hallsten")</f>
        <v>Dave Hallsten</v>
      </c>
      <c r="D1207" s="26" t="str">
        <f>IFERROR(__xludf.DUMMYFUNCTION("""COMPUTED_VALUE"""),"Corporate")</f>
        <v>Corporate</v>
      </c>
      <c r="E1207" s="26" t="str">
        <f>IFERROR(__xludf.DUMMYFUNCTION("""COMPUTED_VALUE"""),"East")</f>
        <v>East</v>
      </c>
      <c r="F1207" s="26">
        <f>IFERROR(__xludf.DUMMYFUNCTION("""COMPUTED_VALUE"""),49.848)</f>
        <v>49.848</v>
      </c>
      <c r="G1207" s="26">
        <f>IFERROR(__xludf.DUMMYFUNCTION("""COMPUTED_VALUE"""),3.0)</f>
        <v>3</v>
      </c>
      <c r="H1207" s="26">
        <f>IFERROR(__xludf.DUMMYFUNCTION("""COMPUTED_VALUE"""),16.8237)</f>
        <v>16.8237</v>
      </c>
    </row>
    <row r="1208">
      <c r="A1208" s="26" t="str">
        <f>IFERROR(__xludf.DUMMYFUNCTION("""COMPUTED_VALUE"""),"CA-2015-143700")</f>
        <v>CA-2015-143700</v>
      </c>
      <c r="B1208" s="27">
        <f>IFERROR(__xludf.DUMMYFUNCTION("""COMPUTED_VALUE"""),42211.0)</f>
        <v>42211</v>
      </c>
      <c r="C1208" s="26" t="str">
        <f>IFERROR(__xludf.DUMMYFUNCTION("""COMPUTED_VALUE"""),"Alan Shonely")</f>
        <v>Alan Shonely</v>
      </c>
      <c r="D1208" s="26" t="str">
        <f>IFERROR(__xludf.DUMMYFUNCTION("""COMPUTED_VALUE"""),"Consumer")</f>
        <v>Consumer</v>
      </c>
      <c r="E1208" s="26" t="str">
        <f>IFERROR(__xludf.DUMMYFUNCTION("""COMPUTED_VALUE"""),"East")</f>
        <v>East</v>
      </c>
      <c r="F1208" s="26">
        <f>IFERROR(__xludf.DUMMYFUNCTION("""COMPUTED_VALUE"""),10.368)</f>
        <v>10.368</v>
      </c>
      <c r="G1208" s="26">
        <f>IFERROR(__xludf.DUMMYFUNCTION("""COMPUTED_VALUE"""),2.0)</f>
        <v>2</v>
      </c>
      <c r="H1208" s="26">
        <f>IFERROR(__xludf.DUMMYFUNCTION("""COMPUTED_VALUE"""),3.6288)</f>
        <v>3.6288</v>
      </c>
    </row>
    <row r="1209">
      <c r="A1209" s="26" t="str">
        <f>IFERROR(__xludf.DUMMYFUNCTION("""COMPUTED_VALUE"""),"CA-2015-100251")</f>
        <v>CA-2015-100251</v>
      </c>
      <c r="B1209" s="27">
        <f>IFERROR(__xludf.DUMMYFUNCTION("""COMPUTED_VALUE"""),42141.0)</f>
        <v>42141</v>
      </c>
      <c r="C1209" s="26" t="str">
        <f>IFERROR(__xludf.DUMMYFUNCTION("""COMPUTED_VALUE"""),"Dianna Vittorini")</f>
        <v>Dianna Vittorini</v>
      </c>
      <c r="D1209" s="26" t="str">
        <f>IFERROR(__xludf.DUMMYFUNCTION("""COMPUTED_VALUE"""),"Consumer")</f>
        <v>Consumer</v>
      </c>
      <c r="E1209" s="26" t="str">
        <f>IFERROR(__xludf.DUMMYFUNCTION("""COMPUTED_VALUE"""),"East")</f>
        <v>East</v>
      </c>
      <c r="F1209" s="26">
        <f>IFERROR(__xludf.DUMMYFUNCTION("""COMPUTED_VALUE"""),31.5)</f>
        <v>31.5</v>
      </c>
      <c r="G1209" s="26">
        <f>IFERROR(__xludf.DUMMYFUNCTION("""COMPUTED_VALUE"""),10.0)</f>
        <v>10</v>
      </c>
      <c r="H1209" s="26">
        <f>IFERROR(__xludf.DUMMYFUNCTION("""COMPUTED_VALUE"""),15.12)</f>
        <v>15.12</v>
      </c>
    </row>
    <row r="1210">
      <c r="A1210" s="26" t="str">
        <f>IFERROR(__xludf.DUMMYFUNCTION("""COMPUTED_VALUE"""),"CA-2014-158274")</f>
        <v>CA-2014-158274</v>
      </c>
      <c r="B1210" s="29">
        <f>IFERROR(__xludf.DUMMYFUNCTION("""COMPUTED_VALUE"""),41962.0)</f>
        <v>41962</v>
      </c>
      <c r="C1210" s="26" t="str">
        <f>IFERROR(__xludf.DUMMYFUNCTION("""COMPUTED_VALUE"""),"Home Office")</f>
        <v>Home Office</v>
      </c>
      <c r="D1210" s="26" t="str">
        <f>IFERROR(__xludf.DUMMYFUNCTION("""COMPUTED_VALUE"""),"Louisiana")</f>
        <v>Louisiana</v>
      </c>
      <c r="E1210" s="26" t="str">
        <f>IFERROR(__xludf.DUMMYFUNCTION("""COMPUTED_VALUE"""),"South")</f>
        <v>South</v>
      </c>
      <c r="F1210" s="26">
        <f>IFERROR(__xludf.DUMMYFUNCTION("""COMPUTED_VALUE"""),503.96)</f>
        <v>503.96</v>
      </c>
      <c r="G1210" s="26">
        <f>IFERROR(__xludf.DUMMYFUNCTION("""COMPUTED_VALUE"""),4.0)</f>
        <v>4</v>
      </c>
      <c r="H1210" s="26">
        <f>IFERROR(__xludf.DUMMYFUNCTION("""COMPUTED_VALUE"""),131.0296)</f>
        <v>131.0296</v>
      </c>
    </row>
    <row r="1211">
      <c r="A1211" s="26" t="str">
        <f>IFERROR(__xludf.DUMMYFUNCTION("""COMPUTED_VALUE"""),"US-2014-156216")</f>
        <v>US-2014-156216</v>
      </c>
      <c r="B1211" s="27">
        <f>IFERROR(__xludf.DUMMYFUNCTION("""COMPUTED_VALUE"""),41895.0)</f>
        <v>41895</v>
      </c>
      <c r="C1211" s="26" t="str">
        <f>IFERROR(__xludf.DUMMYFUNCTION("""COMPUTED_VALUE"""),"Corporate")</f>
        <v>Corporate</v>
      </c>
      <c r="D1211" s="26" t="str">
        <f>IFERROR(__xludf.DUMMYFUNCTION("""COMPUTED_VALUE"""),"North Carolina")</f>
        <v>North Carolina</v>
      </c>
      <c r="E1211" s="26" t="str">
        <f>IFERROR(__xludf.DUMMYFUNCTION("""COMPUTED_VALUE"""),"South")</f>
        <v>South</v>
      </c>
      <c r="F1211" s="26">
        <f>IFERROR(__xludf.DUMMYFUNCTION("""COMPUTED_VALUE"""),18.648)</f>
        <v>18.648</v>
      </c>
      <c r="G1211" s="26">
        <f>IFERROR(__xludf.DUMMYFUNCTION("""COMPUTED_VALUE"""),7.0)</f>
        <v>7</v>
      </c>
      <c r="H1211" s="26">
        <f>IFERROR(__xludf.DUMMYFUNCTION("""COMPUTED_VALUE"""),-12.432)</f>
        <v>-12.432</v>
      </c>
    </row>
    <row r="1212">
      <c r="A1212" s="26" t="str">
        <f>IFERROR(__xludf.DUMMYFUNCTION("""COMPUTED_VALUE"""),"CA-2014-167850")</f>
        <v>CA-2014-167850</v>
      </c>
      <c r="B1212" s="27">
        <f>IFERROR(__xludf.DUMMYFUNCTION("""COMPUTED_VALUE"""),41860.0)</f>
        <v>41860</v>
      </c>
      <c r="C1212" s="26" t="str">
        <f>IFERROR(__xludf.DUMMYFUNCTION("""COMPUTED_VALUE"""),"Corporate")</f>
        <v>Corporate</v>
      </c>
      <c r="D1212" s="26" t="str">
        <f>IFERROR(__xludf.DUMMYFUNCTION("""COMPUTED_VALUE"""),"Florida")</f>
        <v>Florida</v>
      </c>
      <c r="E1212" s="26" t="str">
        <f>IFERROR(__xludf.DUMMYFUNCTION("""COMPUTED_VALUE"""),"South")</f>
        <v>South</v>
      </c>
      <c r="F1212" s="26">
        <f>IFERROR(__xludf.DUMMYFUNCTION("""COMPUTED_VALUE"""),178.384)</f>
        <v>178.384</v>
      </c>
      <c r="G1212" s="26">
        <f>IFERROR(__xludf.DUMMYFUNCTION("""COMPUTED_VALUE"""),2.0)</f>
        <v>2</v>
      </c>
      <c r="H1212" s="26">
        <f>IFERROR(__xludf.DUMMYFUNCTION("""COMPUTED_VALUE"""),22.298)</f>
        <v>22.298</v>
      </c>
    </row>
    <row r="1213">
      <c r="A1213" s="26" t="str">
        <f>IFERROR(__xludf.DUMMYFUNCTION("""COMPUTED_VALUE"""),"CA-2014-113166")</f>
        <v>CA-2014-113166</v>
      </c>
      <c r="B1213" s="29">
        <f>IFERROR(__xludf.DUMMYFUNCTION("""COMPUTED_VALUE"""),41997.0)</f>
        <v>41997</v>
      </c>
      <c r="C1213" s="26" t="str">
        <f>IFERROR(__xludf.DUMMYFUNCTION("""COMPUTED_VALUE"""),"Consumer")</f>
        <v>Consumer</v>
      </c>
      <c r="D1213" s="26" t="str">
        <f>IFERROR(__xludf.DUMMYFUNCTION("""COMPUTED_VALUE"""),"Florida")</f>
        <v>Florida</v>
      </c>
      <c r="E1213" s="26" t="str">
        <f>IFERROR(__xludf.DUMMYFUNCTION("""COMPUTED_VALUE"""),"South")</f>
        <v>South</v>
      </c>
      <c r="F1213" s="26">
        <f>IFERROR(__xludf.DUMMYFUNCTION("""COMPUTED_VALUE"""),9.568)</f>
        <v>9.568</v>
      </c>
      <c r="G1213" s="26">
        <f>IFERROR(__xludf.DUMMYFUNCTION("""COMPUTED_VALUE"""),2.0)</f>
        <v>2</v>
      </c>
      <c r="H1213" s="26">
        <f>IFERROR(__xludf.DUMMYFUNCTION("""COMPUTED_VALUE"""),3.4684)</f>
        <v>3.4684</v>
      </c>
    </row>
    <row r="1214">
      <c r="A1214" s="26" t="str">
        <f>IFERROR(__xludf.DUMMYFUNCTION("""COMPUTED_VALUE"""),"CA-2014-155208")</f>
        <v>CA-2014-155208</v>
      </c>
      <c r="B1214" s="27">
        <f>IFERROR(__xludf.DUMMYFUNCTION("""COMPUTED_VALUE"""),41745.0)</f>
        <v>41745</v>
      </c>
      <c r="C1214" s="26" t="str">
        <f>IFERROR(__xludf.DUMMYFUNCTION("""COMPUTED_VALUE"""),"Corporate")</f>
        <v>Corporate</v>
      </c>
      <c r="D1214" s="26" t="str">
        <f>IFERROR(__xludf.DUMMYFUNCTION("""COMPUTED_VALUE"""),"North Carolina")</f>
        <v>North Carolina</v>
      </c>
      <c r="E1214" s="26" t="str">
        <f>IFERROR(__xludf.DUMMYFUNCTION("""COMPUTED_VALUE"""),"South")</f>
        <v>South</v>
      </c>
      <c r="F1214" s="26">
        <f>IFERROR(__xludf.DUMMYFUNCTION("""COMPUTED_VALUE"""),39.072)</f>
        <v>39.072</v>
      </c>
      <c r="G1214" s="26">
        <f>IFERROR(__xludf.DUMMYFUNCTION("""COMPUTED_VALUE"""),6.0)</f>
        <v>6</v>
      </c>
      <c r="H1214" s="26">
        <f>IFERROR(__xludf.DUMMYFUNCTION("""COMPUTED_VALUE"""),9.768)</f>
        <v>9.768</v>
      </c>
    </row>
    <row r="1215">
      <c r="A1215" s="26" t="str">
        <f>IFERROR(__xludf.DUMMYFUNCTION("""COMPUTED_VALUE"""),"US-2014-150574")</f>
        <v>US-2014-150574</v>
      </c>
      <c r="B1215" s="29">
        <f>IFERROR(__xludf.DUMMYFUNCTION("""COMPUTED_VALUE"""),41992.0)</f>
        <v>41992</v>
      </c>
      <c r="C1215" s="26" t="str">
        <f>IFERROR(__xludf.DUMMYFUNCTION("""COMPUTED_VALUE"""),"Consumer")</f>
        <v>Consumer</v>
      </c>
      <c r="D1215" s="26" t="str">
        <f>IFERROR(__xludf.DUMMYFUNCTION("""COMPUTED_VALUE"""),"Florida")</f>
        <v>Florida</v>
      </c>
      <c r="E1215" s="26" t="str">
        <f>IFERROR(__xludf.DUMMYFUNCTION("""COMPUTED_VALUE"""),"South")</f>
        <v>South</v>
      </c>
      <c r="F1215" s="26">
        <f>IFERROR(__xludf.DUMMYFUNCTION("""COMPUTED_VALUE"""),4.812)</f>
        <v>4.812</v>
      </c>
      <c r="G1215" s="26">
        <f>IFERROR(__xludf.DUMMYFUNCTION("""COMPUTED_VALUE"""),2.0)</f>
        <v>2</v>
      </c>
      <c r="H1215" s="26">
        <f>IFERROR(__xludf.DUMMYFUNCTION("""COMPUTED_VALUE"""),-3.6892)</f>
        <v>-3.6892</v>
      </c>
    </row>
    <row r="1216">
      <c r="A1216" s="26" t="str">
        <f>IFERROR(__xludf.DUMMYFUNCTION("""COMPUTED_VALUE"""),"CA-2014-155852")</f>
        <v>CA-2014-155852</v>
      </c>
      <c r="B1216" s="27">
        <f>IFERROR(__xludf.DUMMYFUNCTION("""COMPUTED_VALUE"""),41701.0)</f>
        <v>41701</v>
      </c>
      <c r="C1216" s="26" t="str">
        <f>IFERROR(__xludf.DUMMYFUNCTION("""COMPUTED_VALUE"""),"Consumer")</f>
        <v>Consumer</v>
      </c>
      <c r="D1216" s="26" t="str">
        <f>IFERROR(__xludf.DUMMYFUNCTION("""COMPUTED_VALUE"""),"North Carolina")</f>
        <v>North Carolina</v>
      </c>
      <c r="E1216" s="26" t="str">
        <f>IFERROR(__xludf.DUMMYFUNCTION("""COMPUTED_VALUE"""),"South")</f>
        <v>South</v>
      </c>
      <c r="F1216" s="26">
        <f>IFERROR(__xludf.DUMMYFUNCTION("""COMPUTED_VALUE"""),19.456)</f>
        <v>19.456</v>
      </c>
      <c r="G1216" s="26">
        <f>IFERROR(__xludf.DUMMYFUNCTION("""COMPUTED_VALUE"""),4.0)</f>
        <v>4</v>
      </c>
      <c r="H1216" s="26">
        <f>IFERROR(__xludf.DUMMYFUNCTION("""COMPUTED_VALUE"""),3.4048)</f>
        <v>3.4048</v>
      </c>
    </row>
    <row r="1217">
      <c r="A1217" s="26" t="str">
        <f>IFERROR(__xludf.DUMMYFUNCTION("""COMPUTED_VALUE"""),"CA-2014-145576")</f>
        <v>CA-2014-145576</v>
      </c>
      <c r="B1217" s="27">
        <f>IFERROR(__xludf.DUMMYFUNCTION("""COMPUTED_VALUE"""),41896.0)</f>
        <v>41896</v>
      </c>
      <c r="C1217" s="26" t="str">
        <f>IFERROR(__xludf.DUMMYFUNCTION("""COMPUTED_VALUE"""),"Consumer")</f>
        <v>Consumer</v>
      </c>
      <c r="D1217" s="26" t="str">
        <f>IFERROR(__xludf.DUMMYFUNCTION("""COMPUTED_VALUE"""),"Florida")</f>
        <v>Florida</v>
      </c>
      <c r="E1217" s="26" t="str">
        <f>IFERROR(__xludf.DUMMYFUNCTION("""COMPUTED_VALUE"""),"South")</f>
        <v>South</v>
      </c>
      <c r="F1217" s="26">
        <f>IFERROR(__xludf.DUMMYFUNCTION("""COMPUTED_VALUE"""),13.0)</f>
        <v>13</v>
      </c>
      <c r="G1217" s="26">
        <f>IFERROR(__xludf.DUMMYFUNCTION("""COMPUTED_VALUE"""),5.0)</f>
        <v>5</v>
      </c>
      <c r="H1217" s="26">
        <f>IFERROR(__xludf.DUMMYFUNCTION("""COMPUTED_VALUE"""),1.3)</f>
        <v>1.3</v>
      </c>
    </row>
    <row r="1218">
      <c r="A1218" s="26" t="str">
        <f>IFERROR(__xludf.DUMMYFUNCTION("""COMPUTED_VALUE"""),"CA-2014-149958")</f>
        <v>CA-2014-149958</v>
      </c>
      <c r="B1218" s="27">
        <f>IFERROR(__xludf.DUMMYFUNCTION("""COMPUTED_VALUE"""),41713.0)</f>
        <v>41713</v>
      </c>
      <c r="C1218" s="26" t="str">
        <f>IFERROR(__xludf.DUMMYFUNCTION("""COMPUTED_VALUE"""),"Consumer")</f>
        <v>Consumer</v>
      </c>
      <c r="D1218" s="26" t="str">
        <f>IFERROR(__xludf.DUMMYFUNCTION("""COMPUTED_VALUE"""),"Florida")</f>
        <v>Florida</v>
      </c>
      <c r="E1218" s="26" t="str">
        <f>IFERROR(__xludf.DUMMYFUNCTION("""COMPUTED_VALUE"""),"South")</f>
        <v>South</v>
      </c>
      <c r="F1218" s="26">
        <f>IFERROR(__xludf.DUMMYFUNCTION("""COMPUTED_VALUE"""),142.776)</f>
        <v>142.776</v>
      </c>
      <c r="G1218" s="26">
        <f>IFERROR(__xludf.DUMMYFUNCTION("""COMPUTED_VALUE"""),1.0)</f>
        <v>1</v>
      </c>
      <c r="H1218" s="26">
        <f>IFERROR(__xludf.DUMMYFUNCTION("""COMPUTED_VALUE"""),17.847)</f>
        <v>17.847</v>
      </c>
    </row>
    <row r="1219">
      <c r="A1219" s="26" t="str">
        <f>IFERROR(__xludf.DUMMYFUNCTION("""COMPUTED_VALUE"""),"CA-2014-157784")</f>
        <v>CA-2014-157784</v>
      </c>
      <c r="B1219" s="27">
        <f>IFERROR(__xludf.DUMMYFUNCTION("""COMPUTED_VALUE"""),41825.0)</f>
        <v>41825</v>
      </c>
      <c r="C1219" s="26" t="str">
        <f>IFERROR(__xludf.DUMMYFUNCTION("""COMPUTED_VALUE"""),"Consumer")</f>
        <v>Consumer</v>
      </c>
      <c r="D1219" s="26" t="str">
        <f>IFERROR(__xludf.DUMMYFUNCTION("""COMPUTED_VALUE"""),"Mississippi")</f>
        <v>Mississippi</v>
      </c>
      <c r="E1219" s="26" t="str">
        <f>IFERROR(__xludf.DUMMYFUNCTION("""COMPUTED_VALUE"""),"South")</f>
        <v>South</v>
      </c>
      <c r="F1219" s="26">
        <f>IFERROR(__xludf.DUMMYFUNCTION("""COMPUTED_VALUE"""),479.97)</f>
        <v>479.97</v>
      </c>
      <c r="G1219" s="26">
        <f>IFERROR(__xludf.DUMMYFUNCTION("""COMPUTED_VALUE"""),3.0)</f>
        <v>3</v>
      </c>
      <c r="H1219" s="26">
        <f>IFERROR(__xludf.DUMMYFUNCTION("""COMPUTED_VALUE"""),163.1898)</f>
        <v>163.1898</v>
      </c>
    </row>
    <row r="1220">
      <c r="A1220" s="26" t="str">
        <f>IFERROR(__xludf.DUMMYFUNCTION("""COMPUTED_VALUE"""),"US-2014-117135")</f>
        <v>US-2014-117135</v>
      </c>
      <c r="B1220" s="27">
        <f>IFERROR(__xludf.DUMMYFUNCTION("""COMPUTED_VALUE"""),41811.0)</f>
        <v>41811</v>
      </c>
      <c r="C1220" s="26" t="str">
        <f>IFERROR(__xludf.DUMMYFUNCTION("""COMPUTED_VALUE"""),"Consumer")</f>
        <v>Consumer</v>
      </c>
      <c r="D1220" s="26" t="str">
        <f>IFERROR(__xludf.DUMMYFUNCTION("""COMPUTED_VALUE"""),"Virginia")</f>
        <v>Virginia</v>
      </c>
      <c r="E1220" s="26" t="str">
        <f>IFERROR(__xludf.DUMMYFUNCTION("""COMPUTED_VALUE"""),"South")</f>
        <v>South</v>
      </c>
      <c r="F1220" s="26">
        <f>IFERROR(__xludf.DUMMYFUNCTION("""COMPUTED_VALUE"""),104.01)</f>
        <v>104.01</v>
      </c>
      <c r="G1220" s="26">
        <f>IFERROR(__xludf.DUMMYFUNCTION("""COMPUTED_VALUE"""),1.0)</f>
        <v>1</v>
      </c>
      <c r="H1220" s="26">
        <f>IFERROR(__xludf.DUMMYFUNCTION("""COMPUTED_VALUE"""),14.5614)</f>
        <v>14.5614</v>
      </c>
    </row>
    <row r="1221">
      <c r="A1221" s="26" t="str">
        <f>IFERROR(__xludf.DUMMYFUNCTION("""COMPUTED_VALUE"""),"CA-2014-138527")</f>
        <v>CA-2014-138527</v>
      </c>
      <c r="B1221" s="27">
        <f>IFERROR(__xludf.DUMMYFUNCTION("""COMPUTED_VALUE"""),41894.0)</f>
        <v>41894</v>
      </c>
      <c r="C1221" s="26" t="str">
        <f>IFERROR(__xludf.DUMMYFUNCTION("""COMPUTED_VALUE"""),"Corporate")</f>
        <v>Corporate</v>
      </c>
      <c r="D1221" s="26" t="str">
        <f>IFERROR(__xludf.DUMMYFUNCTION("""COMPUTED_VALUE"""),"North Carolina")</f>
        <v>North Carolina</v>
      </c>
      <c r="E1221" s="26" t="str">
        <f>IFERROR(__xludf.DUMMYFUNCTION("""COMPUTED_VALUE"""),"South")</f>
        <v>South</v>
      </c>
      <c r="F1221" s="26">
        <f>IFERROR(__xludf.DUMMYFUNCTION("""COMPUTED_VALUE"""),10.368)</f>
        <v>10.368</v>
      </c>
      <c r="G1221" s="26">
        <f>IFERROR(__xludf.DUMMYFUNCTION("""COMPUTED_VALUE"""),2.0)</f>
        <v>2</v>
      </c>
      <c r="H1221" s="26">
        <f>IFERROR(__xludf.DUMMYFUNCTION("""COMPUTED_VALUE"""),3.6288)</f>
        <v>3.6288</v>
      </c>
    </row>
    <row r="1222">
      <c r="A1222" s="26" t="str">
        <f>IFERROR(__xludf.DUMMYFUNCTION("""COMPUTED_VALUE"""),"CA-2014-162775")</f>
        <v>CA-2014-162775</v>
      </c>
      <c r="B1222" s="27">
        <f>IFERROR(__xludf.DUMMYFUNCTION("""COMPUTED_VALUE"""),41652.0)</f>
        <v>41652</v>
      </c>
      <c r="C1222" s="26" t="str">
        <f>IFERROR(__xludf.DUMMYFUNCTION("""COMPUTED_VALUE"""),"Corporate")</f>
        <v>Corporate</v>
      </c>
      <c r="D1222" s="26" t="str">
        <f>IFERROR(__xludf.DUMMYFUNCTION("""COMPUTED_VALUE"""),"Louisiana")</f>
        <v>Louisiana</v>
      </c>
      <c r="E1222" s="26" t="str">
        <f>IFERROR(__xludf.DUMMYFUNCTION("""COMPUTED_VALUE"""),"South")</f>
        <v>South</v>
      </c>
      <c r="F1222" s="26">
        <f>IFERROR(__xludf.DUMMYFUNCTION("""COMPUTED_VALUE"""),11.36)</f>
        <v>11.36</v>
      </c>
      <c r="G1222" s="26">
        <f>IFERROR(__xludf.DUMMYFUNCTION("""COMPUTED_VALUE"""),2.0)</f>
        <v>2</v>
      </c>
      <c r="H1222" s="26">
        <f>IFERROR(__xludf.DUMMYFUNCTION("""COMPUTED_VALUE"""),5.3392)</f>
        <v>5.3392</v>
      </c>
    </row>
    <row r="1223">
      <c r="A1223" s="26" t="str">
        <f>IFERROR(__xludf.DUMMYFUNCTION("""COMPUTED_VALUE"""),"CA-2014-106810")</f>
        <v>CA-2014-106810</v>
      </c>
      <c r="B1223" s="27">
        <f>IFERROR(__xludf.DUMMYFUNCTION("""COMPUTED_VALUE"""),41773.0)</f>
        <v>41773</v>
      </c>
      <c r="C1223" s="26" t="str">
        <f>IFERROR(__xludf.DUMMYFUNCTION("""COMPUTED_VALUE"""),"Corporate")</f>
        <v>Corporate</v>
      </c>
      <c r="D1223" s="26" t="str">
        <f>IFERROR(__xludf.DUMMYFUNCTION("""COMPUTED_VALUE"""),"Florida")</f>
        <v>Florida</v>
      </c>
      <c r="E1223" s="26" t="str">
        <f>IFERROR(__xludf.DUMMYFUNCTION("""COMPUTED_VALUE"""),"South")</f>
        <v>South</v>
      </c>
      <c r="F1223" s="26">
        <f>IFERROR(__xludf.DUMMYFUNCTION("""COMPUTED_VALUE"""),310.88)</f>
        <v>310.88</v>
      </c>
      <c r="G1223" s="26">
        <f>IFERROR(__xludf.DUMMYFUNCTION("""COMPUTED_VALUE"""),2.0)</f>
        <v>2</v>
      </c>
      <c r="H1223" s="26">
        <f>IFERROR(__xludf.DUMMYFUNCTION("""COMPUTED_VALUE"""),23.316)</f>
        <v>23.316</v>
      </c>
    </row>
    <row r="1224">
      <c r="A1224" s="26" t="str">
        <f>IFERROR(__xludf.DUMMYFUNCTION("""COMPUTED_VALUE"""),"CA-2014-149020")</f>
        <v>CA-2014-149020</v>
      </c>
      <c r="B1224" s="27">
        <f>IFERROR(__xludf.DUMMYFUNCTION("""COMPUTED_VALUE"""),41649.0)</f>
        <v>41649</v>
      </c>
      <c r="C1224" s="26" t="str">
        <f>IFERROR(__xludf.DUMMYFUNCTION("""COMPUTED_VALUE"""),"Corporate")</f>
        <v>Corporate</v>
      </c>
      <c r="D1224" s="26" t="str">
        <f>IFERROR(__xludf.DUMMYFUNCTION("""COMPUTED_VALUE"""),"Virginia")</f>
        <v>Virginia</v>
      </c>
      <c r="E1224" s="26" t="str">
        <f>IFERROR(__xludf.DUMMYFUNCTION("""COMPUTED_VALUE"""),"South")</f>
        <v>South</v>
      </c>
      <c r="F1224" s="26">
        <f>IFERROR(__xludf.DUMMYFUNCTION("""COMPUTED_VALUE"""),2.89)</f>
        <v>2.89</v>
      </c>
      <c r="G1224" s="26">
        <f>IFERROR(__xludf.DUMMYFUNCTION("""COMPUTED_VALUE"""),1.0)</f>
        <v>1</v>
      </c>
      <c r="H1224" s="26">
        <f>IFERROR(__xludf.DUMMYFUNCTION("""COMPUTED_VALUE"""),1.3583)</f>
        <v>1.3583</v>
      </c>
    </row>
    <row r="1225">
      <c r="A1225" s="26" t="str">
        <f>IFERROR(__xludf.DUMMYFUNCTION("""COMPUTED_VALUE"""),"CA-2014-138296")</f>
        <v>CA-2014-138296</v>
      </c>
      <c r="B1225" s="27">
        <f>IFERROR(__xludf.DUMMYFUNCTION("""COMPUTED_VALUE"""),41978.0)</f>
        <v>41978</v>
      </c>
      <c r="C1225" s="26" t="str">
        <f>IFERROR(__xludf.DUMMYFUNCTION("""COMPUTED_VALUE"""),"Consumer")</f>
        <v>Consumer</v>
      </c>
      <c r="D1225" s="26" t="str">
        <f>IFERROR(__xludf.DUMMYFUNCTION("""COMPUTED_VALUE"""),"Virginia")</f>
        <v>Virginia</v>
      </c>
      <c r="E1225" s="26" t="str">
        <f>IFERROR(__xludf.DUMMYFUNCTION("""COMPUTED_VALUE"""),"South")</f>
        <v>South</v>
      </c>
      <c r="F1225" s="26">
        <f>IFERROR(__xludf.DUMMYFUNCTION("""COMPUTED_VALUE"""),24.56)</f>
        <v>24.56</v>
      </c>
      <c r="G1225" s="26">
        <f>IFERROR(__xludf.DUMMYFUNCTION("""COMPUTED_VALUE"""),2.0)</f>
        <v>2</v>
      </c>
      <c r="H1225" s="26">
        <f>IFERROR(__xludf.DUMMYFUNCTION("""COMPUTED_VALUE"""),6.8768)</f>
        <v>6.8768</v>
      </c>
    </row>
    <row r="1226">
      <c r="A1226" s="26" t="str">
        <f>IFERROR(__xludf.DUMMYFUNCTION("""COMPUTED_VALUE"""),"CA-2014-127488")</f>
        <v>CA-2014-127488</v>
      </c>
      <c r="B1226" s="27">
        <f>IFERROR(__xludf.DUMMYFUNCTION("""COMPUTED_VALUE"""),41904.0)</f>
        <v>41904</v>
      </c>
      <c r="C1226" s="26" t="str">
        <f>IFERROR(__xludf.DUMMYFUNCTION("""COMPUTED_VALUE"""),"Consumer")</f>
        <v>Consumer</v>
      </c>
      <c r="D1226" s="26" t="str">
        <f>IFERROR(__xludf.DUMMYFUNCTION("""COMPUTED_VALUE"""),"Florida")</f>
        <v>Florida</v>
      </c>
      <c r="E1226" s="26" t="str">
        <f>IFERROR(__xludf.DUMMYFUNCTION("""COMPUTED_VALUE"""),"South")</f>
        <v>South</v>
      </c>
      <c r="F1226" s="26">
        <f>IFERROR(__xludf.DUMMYFUNCTION("""COMPUTED_VALUE"""),4.608)</f>
        <v>4.608</v>
      </c>
      <c r="G1226" s="26">
        <f>IFERROR(__xludf.DUMMYFUNCTION("""COMPUTED_VALUE"""),2.0)</f>
        <v>2</v>
      </c>
      <c r="H1226" s="26">
        <f>IFERROR(__xludf.DUMMYFUNCTION("""COMPUTED_VALUE"""),1.6704)</f>
        <v>1.6704</v>
      </c>
    </row>
    <row r="1227">
      <c r="A1227" s="26" t="str">
        <f>IFERROR(__xludf.DUMMYFUNCTION("""COMPUTED_VALUE"""),"CA-2014-117639")</f>
        <v>CA-2014-117639</v>
      </c>
      <c r="B1227" s="27">
        <f>IFERROR(__xludf.DUMMYFUNCTION("""COMPUTED_VALUE"""),41780.0)</f>
        <v>41780</v>
      </c>
      <c r="C1227" s="26" t="str">
        <f>IFERROR(__xludf.DUMMYFUNCTION("""COMPUTED_VALUE"""),"Corporate")</f>
        <v>Corporate</v>
      </c>
      <c r="D1227" s="26" t="str">
        <f>IFERROR(__xludf.DUMMYFUNCTION("""COMPUTED_VALUE"""),"Virginia")</f>
        <v>Virginia</v>
      </c>
      <c r="E1227" s="26" t="str">
        <f>IFERROR(__xludf.DUMMYFUNCTION("""COMPUTED_VALUE"""),"South")</f>
        <v>South</v>
      </c>
      <c r="F1227" s="26">
        <f>IFERROR(__xludf.DUMMYFUNCTION("""COMPUTED_VALUE"""),2715.93)</f>
        <v>2715.93</v>
      </c>
      <c r="G1227" s="26">
        <f>IFERROR(__xludf.DUMMYFUNCTION("""COMPUTED_VALUE"""),7.0)</f>
        <v>7</v>
      </c>
      <c r="H1227" s="26">
        <f>IFERROR(__xludf.DUMMYFUNCTION("""COMPUTED_VALUE"""),1276.4871)</f>
        <v>1276.4871</v>
      </c>
    </row>
    <row r="1228">
      <c r="A1228" s="26" t="str">
        <f>IFERROR(__xludf.DUMMYFUNCTION("""COMPUTED_VALUE"""),"US-2014-147627")</f>
        <v>US-2014-147627</v>
      </c>
      <c r="B1228" s="27">
        <f>IFERROR(__xludf.DUMMYFUNCTION("""COMPUTED_VALUE"""),41659.0)</f>
        <v>41659</v>
      </c>
      <c r="C1228" s="26" t="str">
        <f>IFERROR(__xludf.DUMMYFUNCTION("""COMPUTED_VALUE"""),"Consumer")</f>
        <v>Consumer</v>
      </c>
      <c r="D1228" s="26" t="str">
        <f>IFERROR(__xludf.DUMMYFUNCTION("""COMPUTED_VALUE"""),"Arkansas")</f>
        <v>Arkansas</v>
      </c>
      <c r="E1228" s="26" t="str">
        <f>IFERROR(__xludf.DUMMYFUNCTION("""COMPUTED_VALUE"""),"South")</f>
        <v>South</v>
      </c>
      <c r="F1228" s="26">
        <f>IFERROR(__xludf.DUMMYFUNCTION("""COMPUTED_VALUE"""),699.93)</f>
        <v>699.93</v>
      </c>
      <c r="G1228" s="26">
        <f>IFERROR(__xludf.DUMMYFUNCTION("""COMPUTED_VALUE"""),7.0)</f>
        <v>7</v>
      </c>
      <c r="H1228" s="26">
        <f>IFERROR(__xludf.DUMMYFUNCTION("""COMPUTED_VALUE"""),181.9818)</f>
        <v>181.9818</v>
      </c>
    </row>
    <row r="1229">
      <c r="A1229" s="26" t="str">
        <f>IFERROR(__xludf.DUMMYFUNCTION("""COMPUTED_VALUE"""),"CA-2014-136567")</f>
        <v>CA-2014-136567</v>
      </c>
      <c r="B1229" s="29">
        <f>IFERROR(__xludf.DUMMYFUNCTION("""COMPUTED_VALUE"""),41993.0)</f>
        <v>41993</v>
      </c>
      <c r="C1229" s="26" t="str">
        <f>IFERROR(__xludf.DUMMYFUNCTION("""COMPUTED_VALUE"""),"Home Office")</f>
        <v>Home Office</v>
      </c>
      <c r="D1229" s="26" t="str">
        <f>IFERROR(__xludf.DUMMYFUNCTION("""COMPUTED_VALUE"""),"Virginia")</f>
        <v>Virginia</v>
      </c>
      <c r="E1229" s="26" t="str">
        <f>IFERROR(__xludf.DUMMYFUNCTION("""COMPUTED_VALUE"""),"South")</f>
        <v>South</v>
      </c>
      <c r="F1229" s="26">
        <f>IFERROR(__xludf.DUMMYFUNCTION("""COMPUTED_VALUE"""),122.48)</f>
        <v>122.48</v>
      </c>
      <c r="G1229" s="26">
        <f>IFERROR(__xludf.DUMMYFUNCTION("""COMPUTED_VALUE"""),2.0)</f>
        <v>2</v>
      </c>
      <c r="H1229" s="26">
        <f>IFERROR(__xludf.DUMMYFUNCTION("""COMPUTED_VALUE"""),0.0)</f>
        <v>0</v>
      </c>
    </row>
    <row r="1230">
      <c r="A1230" s="26" t="str">
        <f>IFERROR(__xludf.DUMMYFUNCTION("""COMPUTED_VALUE"""),"CA-2014-163293")</f>
        <v>CA-2014-163293</v>
      </c>
      <c r="B1230" s="27">
        <f>IFERROR(__xludf.DUMMYFUNCTION("""COMPUTED_VALUE"""),41890.0)</f>
        <v>41890</v>
      </c>
      <c r="C1230" s="26" t="str">
        <f>IFERROR(__xludf.DUMMYFUNCTION("""COMPUTED_VALUE"""),"Corporate")</f>
        <v>Corporate</v>
      </c>
      <c r="D1230" s="26" t="str">
        <f>IFERROR(__xludf.DUMMYFUNCTION("""COMPUTED_VALUE"""),"Georgia")</f>
        <v>Georgia</v>
      </c>
      <c r="E1230" s="26" t="str">
        <f>IFERROR(__xludf.DUMMYFUNCTION("""COMPUTED_VALUE"""),"South")</f>
        <v>South</v>
      </c>
      <c r="F1230" s="26">
        <f>IFERROR(__xludf.DUMMYFUNCTION("""COMPUTED_VALUE"""),32.97)</f>
        <v>32.97</v>
      </c>
      <c r="G1230" s="26">
        <f>IFERROR(__xludf.DUMMYFUNCTION("""COMPUTED_VALUE"""),3.0)</f>
        <v>3</v>
      </c>
      <c r="H1230" s="26">
        <f>IFERROR(__xludf.DUMMYFUNCTION("""COMPUTED_VALUE"""),12.8583)</f>
        <v>12.8583</v>
      </c>
    </row>
    <row r="1231">
      <c r="A1231" s="26" t="str">
        <f>IFERROR(__xludf.DUMMYFUNCTION("""COMPUTED_VALUE"""),"CA-2014-160773")</f>
        <v>CA-2014-160773</v>
      </c>
      <c r="B1231" s="27">
        <f>IFERROR(__xludf.DUMMYFUNCTION("""COMPUTED_VALUE"""),41821.0)</f>
        <v>41821</v>
      </c>
      <c r="C1231" s="26" t="str">
        <f>IFERROR(__xludf.DUMMYFUNCTION("""COMPUTED_VALUE"""),"Corporate")</f>
        <v>Corporate</v>
      </c>
      <c r="D1231" s="26" t="str">
        <f>IFERROR(__xludf.DUMMYFUNCTION("""COMPUTED_VALUE"""),"Florida")</f>
        <v>Florida</v>
      </c>
      <c r="E1231" s="26" t="str">
        <f>IFERROR(__xludf.DUMMYFUNCTION("""COMPUTED_VALUE"""),"South")</f>
        <v>South</v>
      </c>
      <c r="F1231" s="26">
        <f>IFERROR(__xludf.DUMMYFUNCTION("""COMPUTED_VALUE"""),575.92)</f>
        <v>575.92</v>
      </c>
      <c r="G1231" s="26">
        <f>IFERROR(__xludf.DUMMYFUNCTION("""COMPUTED_VALUE"""),2.0)</f>
        <v>2</v>
      </c>
      <c r="H1231" s="26">
        <f>IFERROR(__xludf.DUMMYFUNCTION("""COMPUTED_VALUE"""),71.99)</f>
        <v>71.99</v>
      </c>
    </row>
    <row r="1232">
      <c r="A1232" s="26" t="str">
        <f>IFERROR(__xludf.DUMMYFUNCTION("""COMPUTED_VALUE"""),"CA-2014-120768")</f>
        <v>CA-2014-120768</v>
      </c>
      <c r="B1232" s="29">
        <f>IFERROR(__xludf.DUMMYFUNCTION("""COMPUTED_VALUE"""),41992.0)</f>
        <v>41992</v>
      </c>
      <c r="C1232" s="26" t="str">
        <f>IFERROR(__xludf.DUMMYFUNCTION("""COMPUTED_VALUE"""),"Consumer")</f>
        <v>Consumer</v>
      </c>
      <c r="D1232" s="26" t="str">
        <f>IFERROR(__xludf.DUMMYFUNCTION("""COMPUTED_VALUE"""),"Alabama")</f>
        <v>Alabama</v>
      </c>
      <c r="E1232" s="26" t="str">
        <f>IFERROR(__xludf.DUMMYFUNCTION("""COMPUTED_VALUE"""),"South")</f>
        <v>South</v>
      </c>
      <c r="F1232" s="26">
        <f>IFERROR(__xludf.DUMMYFUNCTION("""COMPUTED_VALUE"""),152.76)</f>
        <v>152.76</v>
      </c>
      <c r="G1232" s="26">
        <f>IFERROR(__xludf.DUMMYFUNCTION("""COMPUTED_VALUE"""),6.0)</f>
        <v>6</v>
      </c>
      <c r="H1232" s="26">
        <f>IFERROR(__xludf.DUMMYFUNCTION("""COMPUTED_VALUE"""),74.8524)</f>
        <v>74.8524</v>
      </c>
    </row>
    <row r="1233">
      <c r="A1233" s="26" t="str">
        <f>IFERROR(__xludf.DUMMYFUNCTION("""COMPUTED_VALUE"""),"CA-2014-123925")</f>
        <v>CA-2014-123925</v>
      </c>
      <c r="B1233" s="29">
        <f>IFERROR(__xludf.DUMMYFUNCTION("""COMPUTED_VALUE"""),41990.0)</f>
        <v>41990</v>
      </c>
      <c r="C1233" s="26" t="str">
        <f>IFERROR(__xludf.DUMMYFUNCTION("""COMPUTED_VALUE"""),"Consumer")</f>
        <v>Consumer</v>
      </c>
      <c r="D1233" s="26" t="str">
        <f>IFERROR(__xludf.DUMMYFUNCTION("""COMPUTED_VALUE"""),"Georgia")</f>
        <v>Georgia</v>
      </c>
      <c r="E1233" s="26" t="str">
        <f>IFERROR(__xludf.DUMMYFUNCTION("""COMPUTED_VALUE"""),"South")</f>
        <v>South</v>
      </c>
      <c r="F1233" s="26">
        <f>IFERROR(__xludf.DUMMYFUNCTION("""COMPUTED_VALUE"""),40.05)</f>
        <v>40.05</v>
      </c>
      <c r="G1233" s="26">
        <f>IFERROR(__xludf.DUMMYFUNCTION("""COMPUTED_VALUE"""),3.0)</f>
        <v>3</v>
      </c>
      <c r="H1233" s="26">
        <f>IFERROR(__xludf.DUMMYFUNCTION("""COMPUTED_VALUE"""),11.214)</f>
        <v>11.214</v>
      </c>
    </row>
    <row r="1234">
      <c r="A1234" s="26" t="str">
        <f>IFERROR(__xludf.DUMMYFUNCTION("""COMPUTED_VALUE"""),"CA-2014-116239")</f>
        <v>CA-2014-116239</v>
      </c>
      <c r="B1234" s="27">
        <f>IFERROR(__xludf.DUMMYFUNCTION("""COMPUTED_VALUE"""),41702.0)</f>
        <v>41702</v>
      </c>
      <c r="C1234" s="26" t="str">
        <f>IFERROR(__xludf.DUMMYFUNCTION("""COMPUTED_VALUE"""),"Consumer")</f>
        <v>Consumer</v>
      </c>
      <c r="D1234" s="26" t="str">
        <f>IFERROR(__xludf.DUMMYFUNCTION("""COMPUTED_VALUE"""),"South Carolina")</f>
        <v>South Carolina</v>
      </c>
      <c r="E1234" s="26" t="str">
        <f>IFERROR(__xludf.DUMMYFUNCTION("""COMPUTED_VALUE"""),"South")</f>
        <v>South</v>
      </c>
      <c r="F1234" s="26">
        <f>IFERROR(__xludf.DUMMYFUNCTION("""COMPUTED_VALUE"""),354.9)</f>
        <v>354.9</v>
      </c>
      <c r="G1234" s="26">
        <f>IFERROR(__xludf.DUMMYFUNCTION("""COMPUTED_VALUE"""),5.0)</f>
        <v>5</v>
      </c>
      <c r="H1234" s="26">
        <f>IFERROR(__xludf.DUMMYFUNCTION("""COMPUTED_VALUE"""),17.745)</f>
        <v>17.745</v>
      </c>
    </row>
    <row r="1235">
      <c r="A1235" s="26" t="str">
        <f>IFERROR(__xludf.DUMMYFUNCTION("""COMPUTED_VALUE"""),"CA-2014-125136")</f>
        <v>CA-2014-125136</v>
      </c>
      <c r="B1235" s="27">
        <f>IFERROR(__xludf.DUMMYFUNCTION("""COMPUTED_VALUE"""),41910.0)</f>
        <v>41910</v>
      </c>
      <c r="C1235" s="26" t="str">
        <f>IFERROR(__xludf.DUMMYFUNCTION("""COMPUTED_VALUE"""),"Corporate")</f>
        <v>Corporate</v>
      </c>
      <c r="D1235" s="26" t="str">
        <f>IFERROR(__xludf.DUMMYFUNCTION("""COMPUTED_VALUE"""),"North Carolina")</f>
        <v>North Carolina</v>
      </c>
      <c r="E1235" s="26" t="str">
        <f>IFERROR(__xludf.DUMMYFUNCTION("""COMPUTED_VALUE"""),"South")</f>
        <v>South</v>
      </c>
      <c r="F1235" s="26">
        <f>IFERROR(__xludf.DUMMYFUNCTION("""COMPUTED_VALUE"""),96.256)</f>
        <v>96.256</v>
      </c>
      <c r="G1235" s="26">
        <f>IFERROR(__xludf.DUMMYFUNCTION("""COMPUTED_VALUE"""),8.0)</f>
        <v>8</v>
      </c>
      <c r="H1235" s="26">
        <f>IFERROR(__xludf.DUMMYFUNCTION("""COMPUTED_VALUE"""),31.2832)</f>
        <v>31.2832</v>
      </c>
    </row>
    <row r="1236">
      <c r="A1236" s="26" t="str">
        <f>IFERROR(__xludf.DUMMYFUNCTION("""COMPUTED_VALUE"""),"US-2014-158057")</f>
        <v>US-2014-158057</v>
      </c>
      <c r="B1236" s="27">
        <f>IFERROR(__xludf.DUMMYFUNCTION("""COMPUTED_VALUE"""),41720.0)</f>
        <v>41720</v>
      </c>
      <c r="C1236" s="26" t="str">
        <f>IFERROR(__xludf.DUMMYFUNCTION("""COMPUTED_VALUE"""),"Consumer")</f>
        <v>Consumer</v>
      </c>
      <c r="D1236" s="26" t="str">
        <f>IFERROR(__xludf.DUMMYFUNCTION("""COMPUTED_VALUE"""),"North Carolina")</f>
        <v>North Carolina</v>
      </c>
      <c r="E1236" s="26" t="str">
        <f>IFERROR(__xludf.DUMMYFUNCTION("""COMPUTED_VALUE"""),"South")</f>
        <v>South</v>
      </c>
      <c r="F1236" s="26">
        <f>IFERROR(__xludf.DUMMYFUNCTION("""COMPUTED_VALUE"""),7.644)</f>
        <v>7.644</v>
      </c>
      <c r="G1236" s="26">
        <f>IFERROR(__xludf.DUMMYFUNCTION("""COMPUTED_VALUE"""),4.0)</f>
        <v>4</v>
      </c>
      <c r="H1236" s="26">
        <f>IFERROR(__xludf.DUMMYFUNCTION("""COMPUTED_VALUE"""),-5.8604)</f>
        <v>-5.8604</v>
      </c>
    </row>
    <row r="1237">
      <c r="A1237" s="26" t="str">
        <f>IFERROR(__xludf.DUMMYFUNCTION("""COMPUTED_VALUE"""),"CA-2014-132612")</f>
        <v>CA-2014-132612</v>
      </c>
      <c r="B1237" s="27">
        <f>IFERROR(__xludf.DUMMYFUNCTION("""COMPUTED_VALUE"""),41799.0)</f>
        <v>41799</v>
      </c>
      <c r="C1237" s="26" t="str">
        <f>IFERROR(__xludf.DUMMYFUNCTION("""COMPUTED_VALUE"""),"Consumer")</f>
        <v>Consumer</v>
      </c>
      <c r="D1237" s="26" t="str">
        <f>IFERROR(__xludf.DUMMYFUNCTION("""COMPUTED_VALUE"""),"Virginia")</f>
        <v>Virginia</v>
      </c>
      <c r="E1237" s="26" t="str">
        <f>IFERROR(__xludf.DUMMYFUNCTION("""COMPUTED_VALUE"""),"South")</f>
        <v>South</v>
      </c>
      <c r="F1237" s="26">
        <f>IFERROR(__xludf.DUMMYFUNCTION("""COMPUTED_VALUE"""),1441.3)</f>
        <v>1441.3</v>
      </c>
      <c r="G1237" s="26">
        <f>IFERROR(__xludf.DUMMYFUNCTION("""COMPUTED_VALUE"""),7.0)</f>
        <v>7</v>
      </c>
      <c r="H1237" s="26">
        <f>IFERROR(__xludf.DUMMYFUNCTION("""COMPUTED_VALUE"""),245.021)</f>
        <v>245.021</v>
      </c>
    </row>
    <row r="1238">
      <c r="A1238" s="26" t="str">
        <f>IFERROR(__xludf.DUMMYFUNCTION("""COMPUTED_VALUE"""),"CA-2014-117345")</f>
        <v>CA-2014-117345</v>
      </c>
      <c r="B1238" s="27">
        <f>IFERROR(__xludf.DUMMYFUNCTION("""COMPUTED_VALUE"""),41852.0)</f>
        <v>41852</v>
      </c>
      <c r="C1238" s="26" t="str">
        <f>IFERROR(__xludf.DUMMYFUNCTION("""COMPUTED_VALUE"""),"Corporate")</f>
        <v>Corporate</v>
      </c>
      <c r="D1238" s="26" t="str">
        <f>IFERROR(__xludf.DUMMYFUNCTION("""COMPUTED_VALUE"""),"North Carolina")</f>
        <v>North Carolina</v>
      </c>
      <c r="E1238" s="26" t="str">
        <f>IFERROR(__xludf.DUMMYFUNCTION("""COMPUTED_VALUE"""),"South")</f>
        <v>South</v>
      </c>
      <c r="F1238" s="26">
        <f>IFERROR(__xludf.DUMMYFUNCTION("""COMPUTED_VALUE"""),17.544)</f>
        <v>17.544</v>
      </c>
      <c r="G1238" s="26">
        <f>IFERROR(__xludf.DUMMYFUNCTION("""COMPUTED_VALUE"""),3.0)</f>
        <v>3</v>
      </c>
      <c r="H1238" s="26">
        <f>IFERROR(__xludf.DUMMYFUNCTION("""COMPUTED_VALUE"""),5.9211)</f>
        <v>5.9211</v>
      </c>
    </row>
    <row r="1239">
      <c r="A1239" s="26" t="str">
        <f>IFERROR(__xludf.DUMMYFUNCTION("""COMPUTED_VALUE"""),"CA-2014-140165")</f>
        <v>CA-2014-140165</v>
      </c>
      <c r="B1239" s="27">
        <f>IFERROR(__xludf.DUMMYFUNCTION("""COMPUTED_VALUE"""),41772.0)</f>
        <v>41772</v>
      </c>
      <c r="C1239" s="26" t="str">
        <f>IFERROR(__xludf.DUMMYFUNCTION("""COMPUTED_VALUE"""),"Home Office")</f>
        <v>Home Office</v>
      </c>
      <c r="D1239" s="26" t="str">
        <f>IFERROR(__xludf.DUMMYFUNCTION("""COMPUTED_VALUE"""),"Florida")</f>
        <v>Florida</v>
      </c>
      <c r="E1239" s="26" t="str">
        <f>IFERROR(__xludf.DUMMYFUNCTION("""COMPUTED_VALUE"""),"South")</f>
        <v>South</v>
      </c>
      <c r="F1239" s="26">
        <f>IFERROR(__xludf.DUMMYFUNCTION("""COMPUTED_VALUE"""),7.104)</f>
        <v>7.104</v>
      </c>
      <c r="G1239" s="26">
        <f>IFERROR(__xludf.DUMMYFUNCTION("""COMPUTED_VALUE"""),2.0)</f>
        <v>2</v>
      </c>
      <c r="H1239" s="26">
        <f>IFERROR(__xludf.DUMMYFUNCTION("""COMPUTED_VALUE"""),2.3976)</f>
        <v>2.3976</v>
      </c>
    </row>
    <row r="1240">
      <c r="A1240" s="26" t="str">
        <f>IFERROR(__xludf.DUMMYFUNCTION("""COMPUTED_VALUE"""),"CA-2014-169775")</f>
        <v>CA-2014-169775</v>
      </c>
      <c r="B1240" s="27">
        <f>IFERROR(__xludf.DUMMYFUNCTION("""COMPUTED_VALUE"""),41880.0)</f>
        <v>41880</v>
      </c>
      <c r="C1240" s="26" t="str">
        <f>IFERROR(__xludf.DUMMYFUNCTION("""COMPUTED_VALUE"""),"Consumer")</f>
        <v>Consumer</v>
      </c>
      <c r="D1240" s="26" t="str">
        <f>IFERROR(__xludf.DUMMYFUNCTION("""COMPUTED_VALUE"""),"Florida")</f>
        <v>Florida</v>
      </c>
      <c r="E1240" s="26" t="str">
        <f>IFERROR(__xludf.DUMMYFUNCTION("""COMPUTED_VALUE"""),"South")</f>
        <v>South</v>
      </c>
      <c r="F1240" s="26">
        <f>IFERROR(__xludf.DUMMYFUNCTION("""COMPUTED_VALUE"""),29.808)</f>
        <v>29.808</v>
      </c>
      <c r="G1240" s="26">
        <f>IFERROR(__xludf.DUMMYFUNCTION("""COMPUTED_VALUE"""),2.0)</f>
        <v>2</v>
      </c>
      <c r="H1240" s="26">
        <f>IFERROR(__xludf.DUMMYFUNCTION("""COMPUTED_VALUE"""),10.8054)</f>
        <v>10.8054</v>
      </c>
    </row>
    <row r="1241">
      <c r="A1241" s="26" t="str">
        <f>IFERROR(__xludf.DUMMYFUNCTION("""COMPUTED_VALUE"""),"CA-2014-103366")</f>
        <v>CA-2014-103366</v>
      </c>
      <c r="B1241" s="27">
        <f>IFERROR(__xludf.DUMMYFUNCTION("""COMPUTED_VALUE"""),41654.0)</f>
        <v>41654</v>
      </c>
      <c r="C1241" s="26" t="str">
        <f>IFERROR(__xludf.DUMMYFUNCTION("""COMPUTED_VALUE"""),"Consumer")</f>
        <v>Consumer</v>
      </c>
      <c r="D1241" s="26" t="str">
        <f>IFERROR(__xludf.DUMMYFUNCTION("""COMPUTED_VALUE"""),"Georgia")</f>
        <v>Georgia</v>
      </c>
      <c r="E1241" s="26" t="str">
        <f>IFERROR(__xludf.DUMMYFUNCTION("""COMPUTED_VALUE"""),"South")</f>
        <v>South</v>
      </c>
      <c r="F1241" s="26">
        <f>IFERROR(__xludf.DUMMYFUNCTION("""COMPUTED_VALUE"""),149.95)</f>
        <v>149.95</v>
      </c>
      <c r="G1241" s="26">
        <f>IFERROR(__xludf.DUMMYFUNCTION("""COMPUTED_VALUE"""),5.0)</f>
        <v>5</v>
      </c>
      <c r="H1241" s="26">
        <f>IFERROR(__xludf.DUMMYFUNCTION("""COMPUTED_VALUE"""),65.978)</f>
        <v>65.978</v>
      </c>
    </row>
    <row r="1242">
      <c r="A1242" s="26" t="str">
        <f>IFERROR(__xludf.DUMMYFUNCTION("""COMPUTED_VALUE"""),"CA-2014-110408")</f>
        <v>CA-2014-110408</v>
      </c>
      <c r="B1242" s="29">
        <f>IFERROR(__xludf.DUMMYFUNCTION("""COMPUTED_VALUE"""),41930.0)</f>
        <v>41930</v>
      </c>
      <c r="C1242" s="26" t="str">
        <f>IFERROR(__xludf.DUMMYFUNCTION("""COMPUTED_VALUE"""),"Corporate")</f>
        <v>Corporate</v>
      </c>
      <c r="D1242" s="26" t="str">
        <f>IFERROR(__xludf.DUMMYFUNCTION("""COMPUTED_VALUE"""),"Alabama")</f>
        <v>Alabama</v>
      </c>
      <c r="E1242" s="26" t="str">
        <f>IFERROR(__xludf.DUMMYFUNCTION("""COMPUTED_VALUE"""),"South")</f>
        <v>South</v>
      </c>
      <c r="F1242" s="26">
        <f>IFERROR(__xludf.DUMMYFUNCTION("""COMPUTED_VALUE"""),275.97)</f>
        <v>275.97</v>
      </c>
      <c r="G1242" s="26">
        <f>IFERROR(__xludf.DUMMYFUNCTION("""COMPUTED_VALUE"""),3.0)</f>
        <v>3</v>
      </c>
      <c r="H1242" s="26">
        <f>IFERROR(__xludf.DUMMYFUNCTION("""COMPUTED_VALUE"""),11.0388)</f>
        <v>11.0388</v>
      </c>
    </row>
    <row r="1243">
      <c r="A1243" s="26" t="str">
        <f>IFERROR(__xludf.DUMMYFUNCTION("""COMPUTED_VALUE"""),"CA-2014-131905")</f>
        <v>CA-2014-131905</v>
      </c>
      <c r="B1243" s="27">
        <f>IFERROR(__xludf.DUMMYFUNCTION("""COMPUTED_VALUE"""),41676.0)</f>
        <v>41676</v>
      </c>
      <c r="C1243" s="26" t="str">
        <f>IFERROR(__xludf.DUMMYFUNCTION("""COMPUTED_VALUE"""),"Corporate")</f>
        <v>Corporate</v>
      </c>
      <c r="D1243" s="26" t="str">
        <f>IFERROR(__xludf.DUMMYFUNCTION("""COMPUTED_VALUE"""),"Virginia")</f>
        <v>Virginia</v>
      </c>
      <c r="E1243" s="26" t="str">
        <f>IFERROR(__xludf.DUMMYFUNCTION("""COMPUTED_VALUE"""),"South")</f>
        <v>South</v>
      </c>
      <c r="F1243" s="26">
        <f>IFERROR(__xludf.DUMMYFUNCTION("""COMPUTED_VALUE"""),15.0)</f>
        <v>15</v>
      </c>
      <c r="G1243" s="26">
        <f>IFERROR(__xludf.DUMMYFUNCTION("""COMPUTED_VALUE"""),4.0)</f>
        <v>4</v>
      </c>
      <c r="H1243" s="26">
        <f>IFERROR(__xludf.DUMMYFUNCTION("""COMPUTED_VALUE"""),7.2)</f>
        <v>7.2</v>
      </c>
    </row>
    <row r="1244">
      <c r="A1244" s="26" t="str">
        <f>IFERROR(__xludf.DUMMYFUNCTION("""COMPUTED_VALUE"""),"CA-2014-116407")</f>
        <v>CA-2014-116407</v>
      </c>
      <c r="B1244" s="29">
        <f>IFERROR(__xludf.DUMMYFUNCTION("""COMPUTED_VALUE"""),41958.0)</f>
        <v>41958</v>
      </c>
      <c r="C1244" s="26" t="str">
        <f>IFERROR(__xludf.DUMMYFUNCTION("""COMPUTED_VALUE"""),"Consumer")</f>
        <v>Consumer</v>
      </c>
      <c r="D1244" s="26" t="str">
        <f>IFERROR(__xludf.DUMMYFUNCTION("""COMPUTED_VALUE"""),"Tennessee")</f>
        <v>Tennessee</v>
      </c>
      <c r="E1244" s="26" t="str">
        <f>IFERROR(__xludf.DUMMYFUNCTION("""COMPUTED_VALUE"""),"South")</f>
        <v>South</v>
      </c>
      <c r="F1244" s="26">
        <f>IFERROR(__xludf.DUMMYFUNCTION("""COMPUTED_VALUE"""),4.224)</f>
        <v>4.224</v>
      </c>
      <c r="G1244" s="26">
        <f>IFERROR(__xludf.DUMMYFUNCTION("""COMPUTED_VALUE"""),3.0)</f>
        <v>3</v>
      </c>
      <c r="H1244" s="26">
        <f>IFERROR(__xludf.DUMMYFUNCTION("""COMPUTED_VALUE"""),0.4752)</f>
        <v>0.4752</v>
      </c>
    </row>
    <row r="1245">
      <c r="A1245" s="26" t="str">
        <f>IFERROR(__xludf.DUMMYFUNCTION("""COMPUTED_VALUE"""),"US-2014-167633")</f>
        <v>US-2014-167633</v>
      </c>
      <c r="B1245" s="27">
        <f>IFERROR(__xludf.DUMMYFUNCTION("""COMPUTED_VALUE"""),41912.0)</f>
        <v>41912</v>
      </c>
      <c r="C1245" s="26" t="str">
        <f>IFERROR(__xludf.DUMMYFUNCTION("""COMPUTED_VALUE"""),"Consumer")</f>
        <v>Consumer</v>
      </c>
      <c r="D1245" s="26" t="str">
        <f>IFERROR(__xludf.DUMMYFUNCTION("""COMPUTED_VALUE"""),"Florida")</f>
        <v>Florida</v>
      </c>
      <c r="E1245" s="26" t="str">
        <f>IFERROR(__xludf.DUMMYFUNCTION("""COMPUTED_VALUE"""),"South")</f>
        <v>South</v>
      </c>
      <c r="F1245" s="26">
        <f>IFERROR(__xludf.DUMMYFUNCTION("""COMPUTED_VALUE"""),15.552)</f>
        <v>15.552</v>
      </c>
      <c r="G1245" s="26">
        <f>IFERROR(__xludf.DUMMYFUNCTION("""COMPUTED_VALUE"""),3.0)</f>
        <v>3</v>
      </c>
      <c r="H1245" s="26">
        <f>IFERROR(__xludf.DUMMYFUNCTION("""COMPUTED_VALUE"""),5.4432)</f>
        <v>5.4432</v>
      </c>
    </row>
    <row r="1246">
      <c r="A1246" s="26" t="str">
        <f>IFERROR(__xludf.DUMMYFUNCTION("""COMPUTED_VALUE"""),"CA-2014-163013")</f>
        <v>CA-2014-163013</v>
      </c>
      <c r="B1246" s="29">
        <f>IFERROR(__xludf.DUMMYFUNCTION("""COMPUTED_VALUE"""),41971.0)</f>
        <v>41971</v>
      </c>
      <c r="C1246" s="26" t="str">
        <f>IFERROR(__xludf.DUMMYFUNCTION("""COMPUTED_VALUE"""),"Consumer")</f>
        <v>Consumer</v>
      </c>
      <c r="D1246" s="26" t="str">
        <f>IFERROR(__xludf.DUMMYFUNCTION("""COMPUTED_VALUE"""),"Alabama")</f>
        <v>Alabama</v>
      </c>
      <c r="E1246" s="26" t="str">
        <f>IFERROR(__xludf.DUMMYFUNCTION("""COMPUTED_VALUE"""),"South")</f>
        <v>South</v>
      </c>
      <c r="F1246" s="26">
        <f>IFERROR(__xludf.DUMMYFUNCTION("""COMPUTED_VALUE"""),14.67)</f>
        <v>14.67</v>
      </c>
      <c r="G1246" s="26">
        <f>IFERROR(__xludf.DUMMYFUNCTION("""COMPUTED_VALUE"""),3.0)</f>
        <v>3</v>
      </c>
      <c r="H1246" s="26">
        <f>IFERROR(__xludf.DUMMYFUNCTION("""COMPUTED_VALUE"""),3.9609)</f>
        <v>3.9609</v>
      </c>
    </row>
    <row r="1247">
      <c r="A1247" s="26" t="str">
        <f>IFERROR(__xludf.DUMMYFUNCTION("""COMPUTED_VALUE"""),"US-2014-165659")</f>
        <v>US-2014-165659</v>
      </c>
      <c r="B1247" s="27">
        <f>IFERROR(__xludf.DUMMYFUNCTION("""COMPUTED_VALUE"""),41791.0)</f>
        <v>41791</v>
      </c>
      <c r="C1247" s="26" t="str">
        <f>IFERROR(__xludf.DUMMYFUNCTION("""COMPUTED_VALUE"""),"Consumer")</f>
        <v>Consumer</v>
      </c>
      <c r="D1247" s="26" t="str">
        <f>IFERROR(__xludf.DUMMYFUNCTION("""COMPUTED_VALUE"""),"Arkansas")</f>
        <v>Arkansas</v>
      </c>
      <c r="E1247" s="26" t="str">
        <f>IFERROR(__xludf.DUMMYFUNCTION("""COMPUTED_VALUE"""),"South")</f>
        <v>South</v>
      </c>
      <c r="F1247" s="26">
        <f>IFERROR(__xludf.DUMMYFUNCTION("""COMPUTED_VALUE"""),22.2)</f>
        <v>22.2</v>
      </c>
      <c r="G1247" s="26">
        <f>IFERROR(__xludf.DUMMYFUNCTION("""COMPUTED_VALUE"""),6.0)</f>
        <v>6</v>
      </c>
      <c r="H1247" s="26">
        <f>IFERROR(__xludf.DUMMYFUNCTION("""COMPUTED_VALUE"""),9.102)</f>
        <v>9.102</v>
      </c>
    </row>
    <row r="1248">
      <c r="A1248" s="26" t="str">
        <f>IFERROR(__xludf.DUMMYFUNCTION("""COMPUTED_VALUE"""),"CA-2014-151953")</f>
        <v>CA-2014-151953</v>
      </c>
      <c r="B1248" s="27">
        <f>IFERROR(__xludf.DUMMYFUNCTION("""COMPUTED_VALUE"""),41902.0)</f>
        <v>41902</v>
      </c>
      <c r="C1248" s="26" t="str">
        <f>IFERROR(__xludf.DUMMYFUNCTION("""COMPUTED_VALUE"""),"Corporate")</f>
        <v>Corporate</v>
      </c>
      <c r="D1248" s="26" t="str">
        <f>IFERROR(__xludf.DUMMYFUNCTION("""COMPUTED_VALUE"""),"Florida")</f>
        <v>Florida</v>
      </c>
      <c r="E1248" s="26" t="str">
        <f>IFERROR(__xludf.DUMMYFUNCTION("""COMPUTED_VALUE"""),"South")</f>
        <v>South</v>
      </c>
      <c r="F1248" s="26">
        <f>IFERROR(__xludf.DUMMYFUNCTION("""COMPUTED_VALUE"""),2.816)</f>
        <v>2.816</v>
      </c>
      <c r="G1248" s="26">
        <f>IFERROR(__xludf.DUMMYFUNCTION("""COMPUTED_VALUE"""),2.0)</f>
        <v>2</v>
      </c>
      <c r="H1248" s="26">
        <f>IFERROR(__xludf.DUMMYFUNCTION("""COMPUTED_VALUE"""),0.9856)</f>
        <v>0.9856</v>
      </c>
    </row>
    <row r="1249">
      <c r="A1249" s="26" t="str">
        <f>IFERROR(__xludf.DUMMYFUNCTION("""COMPUTED_VALUE"""),"CA-2014-104283")</f>
        <v>CA-2014-104283</v>
      </c>
      <c r="B1249" s="27">
        <f>IFERROR(__xludf.DUMMYFUNCTION("""COMPUTED_VALUE"""),41817.0)</f>
        <v>41817</v>
      </c>
      <c r="C1249" s="26" t="str">
        <f>IFERROR(__xludf.DUMMYFUNCTION("""COMPUTED_VALUE"""),"Consumer")</f>
        <v>Consumer</v>
      </c>
      <c r="D1249" s="26" t="str">
        <f>IFERROR(__xludf.DUMMYFUNCTION("""COMPUTED_VALUE"""),"Mississippi")</f>
        <v>Mississippi</v>
      </c>
      <c r="E1249" s="26" t="str">
        <f>IFERROR(__xludf.DUMMYFUNCTION("""COMPUTED_VALUE"""),"South")</f>
        <v>South</v>
      </c>
      <c r="F1249" s="26">
        <f>IFERROR(__xludf.DUMMYFUNCTION("""COMPUTED_VALUE"""),306.2)</f>
        <v>306.2</v>
      </c>
      <c r="G1249" s="26">
        <f>IFERROR(__xludf.DUMMYFUNCTION("""COMPUTED_VALUE"""),5.0)</f>
        <v>5</v>
      </c>
      <c r="H1249" s="26">
        <f>IFERROR(__xludf.DUMMYFUNCTION("""COMPUTED_VALUE"""),0.0)</f>
        <v>0</v>
      </c>
    </row>
    <row r="1250">
      <c r="A1250" s="26" t="str">
        <f>IFERROR(__xludf.DUMMYFUNCTION("""COMPUTED_VALUE"""),"CA-2014-140886")</f>
        <v>CA-2014-140886</v>
      </c>
      <c r="B1250" s="27">
        <f>IFERROR(__xludf.DUMMYFUNCTION("""COMPUTED_VALUE"""),41912.0)</f>
        <v>41912</v>
      </c>
      <c r="C1250" s="26" t="str">
        <f>IFERROR(__xludf.DUMMYFUNCTION("""COMPUTED_VALUE"""),"Consumer")</f>
        <v>Consumer</v>
      </c>
      <c r="D1250" s="26" t="str">
        <f>IFERROR(__xludf.DUMMYFUNCTION("""COMPUTED_VALUE"""),"Tennessee")</f>
        <v>Tennessee</v>
      </c>
      <c r="E1250" s="26" t="str">
        <f>IFERROR(__xludf.DUMMYFUNCTION("""COMPUTED_VALUE"""),"South")</f>
        <v>South</v>
      </c>
      <c r="F1250" s="26">
        <f>IFERROR(__xludf.DUMMYFUNCTION("""COMPUTED_VALUE"""),69.216)</f>
        <v>69.216</v>
      </c>
      <c r="G1250" s="26">
        <f>IFERROR(__xludf.DUMMYFUNCTION("""COMPUTED_VALUE"""),6.0)</f>
        <v>6</v>
      </c>
      <c r="H1250" s="26">
        <f>IFERROR(__xludf.DUMMYFUNCTION("""COMPUTED_VALUE"""),11.2476)</f>
        <v>11.2476</v>
      </c>
    </row>
    <row r="1251">
      <c r="A1251" s="26" t="str">
        <f>IFERROR(__xludf.DUMMYFUNCTION("""COMPUTED_VALUE"""),"CA-2014-108707")</f>
        <v>CA-2014-108707</v>
      </c>
      <c r="B1251" s="29">
        <f>IFERROR(__xludf.DUMMYFUNCTION("""COMPUTED_VALUE"""),41936.0)</f>
        <v>41936</v>
      </c>
      <c r="C1251" s="26" t="str">
        <f>IFERROR(__xludf.DUMMYFUNCTION("""COMPUTED_VALUE"""),"Home Office")</f>
        <v>Home Office</v>
      </c>
      <c r="D1251" s="26" t="str">
        <f>IFERROR(__xludf.DUMMYFUNCTION("""COMPUTED_VALUE"""),"Florida")</f>
        <v>Florida</v>
      </c>
      <c r="E1251" s="26" t="str">
        <f>IFERROR(__xludf.DUMMYFUNCTION("""COMPUTED_VALUE"""),"South")</f>
        <v>South</v>
      </c>
      <c r="F1251" s="26">
        <f>IFERROR(__xludf.DUMMYFUNCTION("""COMPUTED_VALUE"""),10.368)</f>
        <v>10.368</v>
      </c>
      <c r="G1251" s="26">
        <f>IFERROR(__xludf.DUMMYFUNCTION("""COMPUTED_VALUE"""),2.0)</f>
        <v>2</v>
      </c>
      <c r="H1251" s="26">
        <f>IFERROR(__xludf.DUMMYFUNCTION("""COMPUTED_VALUE"""),3.6288)</f>
        <v>3.6288</v>
      </c>
    </row>
    <row r="1252">
      <c r="A1252" s="26" t="str">
        <f>IFERROR(__xludf.DUMMYFUNCTION("""COMPUTED_VALUE"""),"CA-2014-111500")</f>
        <v>CA-2014-111500</v>
      </c>
      <c r="B1252" s="27">
        <f>IFERROR(__xludf.DUMMYFUNCTION("""COMPUTED_VALUE"""),41868.0)</f>
        <v>41868</v>
      </c>
      <c r="C1252" s="26" t="str">
        <f>IFERROR(__xludf.DUMMYFUNCTION("""COMPUTED_VALUE"""),"Corporate")</f>
        <v>Corporate</v>
      </c>
      <c r="D1252" s="26" t="str">
        <f>IFERROR(__xludf.DUMMYFUNCTION("""COMPUTED_VALUE"""),"Arkansas")</f>
        <v>Arkansas</v>
      </c>
      <c r="E1252" s="26" t="str">
        <f>IFERROR(__xludf.DUMMYFUNCTION("""COMPUTED_VALUE"""),"South")</f>
        <v>South</v>
      </c>
      <c r="F1252" s="26">
        <f>IFERROR(__xludf.DUMMYFUNCTION("""COMPUTED_VALUE"""),114.2)</f>
        <v>114.2</v>
      </c>
      <c r="G1252" s="26">
        <f>IFERROR(__xludf.DUMMYFUNCTION("""COMPUTED_VALUE"""),5.0)</f>
        <v>5</v>
      </c>
      <c r="H1252" s="26">
        <f>IFERROR(__xludf.DUMMYFUNCTION("""COMPUTED_VALUE"""),52.532)</f>
        <v>52.532</v>
      </c>
    </row>
    <row r="1253">
      <c r="A1253" s="26" t="str">
        <f>IFERROR(__xludf.DUMMYFUNCTION("""COMPUTED_VALUE"""),"CA-2014-129091")</f>
        <v>CA-2014-129091</v>
      </c>
      <c r="B1253" s="29">
        <f>IFERROR(__xludf.DUMMYFUNCTION("""COMPUTED_VALUE"""),41965.0)</f>
        <v>41965</v>
      </c>
      <c r="C1253" s="26" t="str">
        <f>IFERROR(__xludf.DUMMYFUNCTION("""COMPUTED_VALUE"""),"Corporate")</f>
        <v>Corporate</v>
      </c>
      <c r="D1253" s="26" t="str">
        <f>IFERROR(__xludf.DUMMYFUNCTION("""COMPUTED_VALUE"""),"Georgia")</f>
        <v>Georgia</v>
      </c>
      <c r="E1253" s="26" t="str">
        <f>IFERROR(__xludf.DUMMYFUNCTION("""COMPUTED_VALUE"""),"South")</f>
        <v>South</v>
      </c>
      <c r="F1253" s="26">
        <f>IFERROR(__xludf.DUMMYFUNCTION("""COMPUTED_VALUE"""),16.23)</f>
        <v>16.23</v>
      </c>
      <c r="G1253" s="26">
        <f>IFERROR(__xludf.DUMMYFUNCTION("""COMPUTED_VALUE"""),3.0)</f>
        <v>3</v>
      </c>
      <c r="H1253" s="26">
        <f>IFERROR(__xludf.DUMMYFUNCTION("""COMPUTED_VALUE"""),7.9527)</f>
        <v>7.9527</v>
      </c>
    </row>
    <row r="1254">
      <c r="A1254" s="26" t="str">
        <f>IFERROR(__xludf.DUMMYFUNCTION("""COMPUTED_VALUE"""),"US-2014-155502")</f>
        <v>US-2014-155502</v>
      </c>
      <c r="B1254" s="27">
        <f>IFERROR(__xludf.DUMMYFUNCTION("""COMPUTED_VALUE"""),41665.0)</f>
        <v>41665</v>
      </c>
      <c r="C1254" s="26" t="str">
        <f>IFERROR(__xludf.DUMMYFUNCTION("""COMPUTED_VALUE"""),"Home Office")</f>
        <v>Home Office</v>
      </c>
      <c r="D1254" s="26" t="str">
        <f>IFERROR(__xludf.DUMMYFUNCTION("""COMPUTED_VALUE"""),"Virginia")</f>
        <v>Virginia</v>
      </c>
      <c r="E1254" s="26" t="str">
        <f>IFERROR(__xludf.DUMMYFUNCTION("""COMPUTED_VALUE"""),"South")</f>
        <v>South</v>
      </c>
      <c r="F1254" s="26">
        <f>IFERROR(__xludf.DUMMYFUNCTION("""COMPUTED_VALUE"""),62.82)</f>
        <v>62.82</v>
      </c>
      <c r="G1254" s="26">
        <f>IFERROR(__xludf.DUMMYFUNCTION("""COMPUTED_VALUE"""),3.0)</f>
        <v>3</v>
      </c>
      <c r="H1254" s="26">
        <f>IFERROR(__xludf.DUMMYFUNCTION("""COMPUTED_VALUE"""),30.7818)</f>
        <v>30.7818</v>
      </c>
    </row>
    <row r="1255">
      <c r="A1255" s="26" t="str">
        <f>IFERROR(__xludf.DUMMYFUNCTION("""COMPUTED_VALUE"""),"CA-2014-112718")</f>
        <v>CA-2014-112718</v>
      </c>
      <c r="B1255" s="29">
        <f>IFERROR(__xludf.DUMMYFUNCTION("""COMPUTED_VALUE"""),41989.0)</f>
        <v>41989</v>
      </c>
      <c r="C1255" s="26" t="str">
        <f>IFERROR(__xludf.DUMMYFUNCTION("""COMPUTED_VALUE"""),"Corporate")</f>
        <v>Corporate</v>
      </c>
      <c r="D1255" s="26" t="str">
        <f>IFERROR(__xludf.DUMMYFUNCTION("""COMPUTED_VALUE"""),"Florida")</f>
        <v>Florida</v>
      </c>
      <c r="E1255" s="26" t="str">
        <f>IFERROR(__xludf.DUMMYFUNCTION("""COMPUTED_VALUE"""),"South")</f>
        <v>South</v>
      </c>
      <c r="F1255" s="26">
        <f>IFERROR(__xludf.DUMMYFUNCTION("""COMPUTED_VALUE"""),1.167)</f>
        <v>1.167</v>
      </c>
      <c r="G1255" s="26">
        <f>IFERROR(__xludf.DUMMYFUNCTION("""COMPUTED_VALUE"""),1.0)</f>
        <v>1</v>
      </c>
      <c r="H1255" s="26">
        <f>IFERROR(__xludf.DUMMYFUNCTION("""COMPUTED_VALUE"""),-0.8558)</f>
        <v>-0.8558</v>
      </c>
    </row>
    <row r="1256">
      <c r="A1256" s="26" t="str">
        <f>IFERROR(__xludf.DUMMYFUNCTION("""COMPUTED_VALUE"""),"CA-2014-143182")</f>
        <v>CA-2014-143182</v>
      </c>
      <c r="B1256" s="29">
        <f>IFERROR(__xludf.DUMMYFUNCTION("""COMPUTED_VALUE"""),41927.0)</f>
        <v>41927</v>
      </c>
      <c r="C1256" s="26" t="str">
        <f>IFERROR(__xludf.DUMMYFUNCTION("""COMPUTED_VALUE"""),"Consumer")</f>
        <v>Consumer</v>
      </c>
      <c r="D1256" s="26" t="str">
        <f>IFERROR(__xludf.DUMMYFUNCTION("""COMPUTED_VALUE"""),"Florida")</f>
        <v>Florida</v>
      </c>
      <c r="E1256" s="26" t="str">
        <f>IFERROR(__xludf.DUMMYFUNCTION("""COMPUTED_VALUE"""),"South")</f>
        <v>South</v>
      </c>
      <c r="F1256" s="26">
        <f>IFERROR(__xludf.DUMMYFUNCTION("""COMPUTED_VALUE"""),15.384)</f>
        <v>15.384</v>
      </c>
      <c r="G1256" s="26">
        <f>IFERROR(__xludf.DUMMYFUNCTION("""COMPUTED_VALUE"""),1.0)</f>
        <v>1</v>
      </c>
      <c r="H1256" s="26">
        <f>IFERROR(__xludf.DUMMYFUNCTION("""COMPUTED_VALUE"""),4.0383)</f>
        <v>4.0383</v>
      </c>
    </row>
    <row r="1257">
      <c r="A1257" s="26" t="str">
        <f>IFERROR(__xludf.DUMMYFUNCTION("""COMPUTED_VALUE"""),"CA-2014-145317")</f>
        <v>CA-2014-145317</v>
      </c>
      <c r="B1257" s="27">
        <f>IFERROR(__xludf.DUMMYFUNCTION("""COMPUTED_VALUE"""),41716.0)</f>
        <v>41716</v>
      </c>
      <c r="C1257" s="26" t="str">
        <f>IFERROR(__xludf.DUMMYFUNCTION("""COMPUTED_VALUE"""),"Home Office")</f>
        <v>Home Office</v>
      </c>
      <c r="D1257" s="26" t="str">
        <f>IFERROR(__xludf.DUMMYFUNCTION("""COMPUTED_VALUE"""),"Florida")</f>
        <v>Florida</v>
      </c>
      <c r="E1257" s="26" t="str">
        <f>IFERROR(__xludf.DUMMYFUNCTION("""COMPUTED_VALUE"""),"South")</f>
        <v>South</v>
      </c>
      <c r="F1257" s="26">
        <f>IFERROR(__xludf.DUMMYFUNCTION("""COMPUTED_VALUE"""),821.3)</f>
        <v>821.3</v>
      </c>
      <c r="G1257" s="26">
        <f>IFERROR(__xludf.DUMMYFUNCTION("""COMPUTED_VALUE"""),4.0)</f>
        <v>4</v>
      </c>
      <c r="H1257" s="26">
        <f>IFERROR(__xludf.DUMMYFUNCTION("""COMPUTED_VALUE"""),-16.426)</f>
        <v>-16.426</v>
      </c>
    </row>
    <row r="1258">
      <c r="A1258" s="26" t="str">
        <f>IFERROR(__xludf.DUMMYFUNCTION("""COMPUTED_VALUE"""),"CA-2014-110100")</f>
        <v>CA-2014-110100</v>
      </c>
      <c r="B1258" s="27">
        <f>IFERROR(__xludf.DUMMYFUNCTION("""COMPUTED_VALUE"""),41754.0)</f>
        <v>41754</v>
      </c>
      <c r="C1258" s="26" t="str">
        <f>IFERROR(__xludf.DUMMYFUNCTION("""COMPUTED_VALUE"""),"Consumer")</f>
        <v>Consumer</v>
      </c>
      <c r="D1258" s="26" t="str">
        <f>IFERROR(__xludf.DUMMYFUNCTION("""COMPUTED_VALUE"""),"North Carolina")</f>
        <v>North Carolina</v>
      </c>
      <c r="E1258" s="26" t="str">
        <f>IFERROR(__xludf.DUMMYFUNCTION("""COMPUTED_VALUE"""),"South")</f>
        <v>South</v>
      </c>
      <c r="F1258" s="26">
        <f>IFERROR(__xludf.DUMMYFUNCTION("""COMPUTED_VALUE"""),302.376)</f>
        <v>302.376</v>
      </c>
      <c r="G1258" s="26">
        <f>IFERROR(__xludf.DUMMYFUNCTION("""COMPUTED_VALUE"""),3.0)</f>
        <v>3</v>
      </c>
      <c r="H1258" s="26">
        <f>IFERROR(__xludf.DUMMYFUNCTION("""COMPUTED_VALUE"""),37.797)</f>
        <v>37.797</v>
      </c>
    </row>
    <row r="1259">
      <c r="A1259" s="26" t="str">
        <f>IFERROR(__xludf.DUMMYFUNCTION("""COMPUTED_VALUE"""),"CA-2014-121286")</f>
        <v>CA-2014-121286</v>
      </c>
      <c r="B1259" s="27">
        <f>IFERROR(__xludf.DUMMYFUNCTION("""COMPUTED_VALUE"""),41947.0)</f>
        <v>41947</v>
      </c>
      <c r="C1259" s="26" t="str">
        <f>IFERROR(__xludf.DUMMYFUNCTION("""COMPUTED_VALUE"""),"Corporate")</f>
        <v>Corporate</v>
      </c>
      <c r="D1259" s="26" t="str">
        <f>IFERROR(__xludf.DUMMYFUNCTION("""COMPUTED_VALUE"""),"North Carolina")</f>
        <v>North Carolina</v>
      </c>
      <c r="E1259" s="26" t="str">
        <f>IFERROR(__xludf.DUMMYFUNCTION("""COMPUTED_VALUE"""),"South")</f>
        <v>South</v>
      </c>
      <c r="F1259" s="26">
        <f>IFERROR(__xludf.DUMMYFUNCTION("""COMPUTED_VALUE"""),8.376)</f>
        <v>8.376</v>
      </c>
      <c r="G1259" s="26">
        <f>IFERROR(__xludf.DUMMYFUNCTION("""COMPUTED_VALUE"""),3.0)</f>
        <v>3</v>
      </c>
      <c r="H1259" s="26">
        <f>IFERROR(__xludf.DUMMYFUNCTION("""COMPUTED_VALUE"""),2.7222)</f>
        <v>2.7222</v>
      </c>
    </row>
    <row r="1260">
      <c r="A1260" s="26" t="str">
        <f>IFERROR(__xludf.DUMMYFUNCTION("""COMPUTED_VALUE"""),"US-2014-125521")</f>
        <v>US-2014-125521</v>
      </c>
      <c r="B1260" s="27">
        <f>IFERROR(__xludf.DUMMYFUNCTION("""COMPUTED_VALUE"""),41712.0)</f>
        <v>41712</v>
      </c>
      <c r="C1260" s="26" t="str">
        <f>IFERROR(__xludf.DUMMYFUNCTION("""COMPUTED_VALUE"""),"Home Office")</f>
        <v>Home Office</v>
      </c>
      <c r="D1260" s="26" t="str">
        <f>IFERROR(__xludf.DUMMYFUNCTION("""COMPUTED_VALUE"""),"Virginia")</f>
        <v>Virginia</v>
      </c>
      <c r="E1260" s="26" t="str">
        <f>IFERROR(__xludf.DUMMYFUNCTION("""COMPUTED_VALUE"""),"South")</f>
        <v>South</v>
      </c>
      <c r="F1260" s="26">
        <f>IFERROR(__xludf.DUMMYFUNCTION("""COMPUTED_VALUE"""),1139.92)</f>
        <v>1139.92</v>
      </c>
      <c r="G1260" s="26">
        <f>IFERROR(__xludf.DUMMYFUNCTION("""COMPUTED_VALUE"""),4.0)</f>
        <v>4</v>
      </c>
      <c r="H1260" s="26">
        <f>IFERROR(__xludf.DUMMYFUNCTION("""COMPUTED_VALUE"""),284.98)</f>
        <v>284.98</v>
      </c>
    </row>
    <row r="1261">
      <c r="A1261" s="26" t="str">
        <f>IFERROR(__xludf.DUMMYFUNCTION("""COMPUTED_VALUE"""),"CA-2014-142727")</f>
        <v>CA-2014-142727</v>
      </c>
      <c r="B1261" s="27">
        <f>IFERROR(__xludf.DUMMYFUNCTION("""COMPUTED_VALUE"""),41758.0)</f>
        <v>41758</v>
      </c>
      <c r="C1261" s="26" t="str">
        <f>IFERROR(__xludf.DUMMYFUNCTION("""COMPUTED_VALUE"""),"Consumer")</f>
        <v>Consumer</v>
      </c>
      <c r="D1261" s="26" t="str">
        <f>IFERROR(__xludf.DUMMYFUNCTION("""COMPUTED_VALUE"""),"Louisiana")</f>
        <v>Louisiana</v>
      </c>
      <c r="E1261" s="26" t="str">
        <f>IFERROR(__xludf.DUMMYFUNCTION("""COMPUTED_VALUE"""),"South")</f>
        <v>South</v>
      </c>
      <c r="F1261" s="26">
        <f>IFERROR(__xludf.DUMMYFUNCTION("""COMPUTED_VALUE"""),51.96)</f>
        <v>51.96</v>
      </c>
      <c r="G1261" s="26">
        <f>IFERROR(__xludf.DUMMYFUNCTION("""COMPUTED_VALUE"""),2.0)</f>
        <v>2</v>
      </c>
      <c r="H1261" s="26">
        <f>IFERROR(__xludf.DUMMYFUNCTION("""COMPUTED_VALUE"""),12.99)</f>
        <v>12.99</v>
      </c>
    </row>
    <row r="1262">
      <c r="A1262" s="26" t="str">
        <f>IFERROR(__xludf.DUMMYFUNCTION("""COMPUTED_VALUE"""),"CA-2014-109232")</f>
        <v>CA-2014-109232</v>
      </c>
      <c r="B1262" s="27">
        <f>IFERROR(__xludf.DUMMYFUNCTION("""COMPUTED_VALUE"""),41652.0)</f>
        <v>41652</v>
      </c>
      <c r="C1262" s="26" t="str">
        <f>IFERROR(__xludf.DUMMYFUNCTION("""COMPUTED_VALUE"""),"Consumer")</f>
        <v>Consumer</v>
      </c>
      <c r="D1262" s="26" t="str">
        <f>IFERROR(__xludf.DUMMYFUNCTION("""COMPUTED_VALUE"""),"South Carolina")</f>
        <v>South Carolina</v>
      </c>
      <c r="E1262" s="26" t="str">
        <f>IFERROR(__xludf.DUMMYFUNCTION("""COMPUTED_VALUE"""),"South")</f>
        <v>South</v>
      </c>
      <c r="F1262" s="26">
        <f>IFERROR(__xludf.DUMMYFUNCTION("""COMPUTED_VALUE"""),545.94)</f>
        <v>545.94</v>
      </c>
      <c r="G1262" s="26">
        <f>IFERROR(__xludf.DUMMYFUNCTION("""COMPUTED_VALUE"""),6.0)</f>
        <v>6</v>
      </c>
      <c r="H1262" s="26">
        <f>IFERROR(__xludf.DUMMYFUNCTION("""COMPUTED_VALUE"""),87.3504)</f>
        <v>87.3504</v>
      </c>
    </row>
    <row r="1263">
      <c r="A1263" s="26" t="str">
        <f>IFERROR(__xludf.DUMMYFUNCTION("""COMPUTED_VALUE"""),"CA-2014-131527")</f>
        <v>CA-2014-131527</v>
      </c>
      <c r="B1263" s="27">
        <f>IFERROR(__xludf.DUMMYFUNCTION("""COMPUTED_VALUE"""),41974.0)</f>
        <v>41974</v>
      </c>
      <c r="C1263" s="26" t="str">
        <f>IFERROR(__xludf.DUMMYFUNCTION("""COMPUTED_VALUE"""),"Consumer")</f>
        <v>Consumer</v>
      </c>
      <c r="D1263" s="26" t="str">
        <f>IFERROR(__xludf.DUMMYFUNCTION("""COMPUTED_VALUE"""),"North Carolina")</f>
        <v>North Carolina</v>
      </c>
      <c r="E1263" s="26" t="str">
        <f>IFERROR(__xludf.DUMMYFUNCTION("""COMPUTED_VALUE"""),"South")</f>
        <v>South</v>
      </c>
      <c r="F1263" s="26">
        <f>IFERROR(__xludf.DUMMYFUNCTION("""COMPUTED_VALUE"""),95.968)</f>
        <v>95.968</v>
      </c>
      <c r="G1263" s="26">
        <f>IFERROR(__xludf.DUMMYFUNCTION("""COMPUTED_VALUE"""),4.0)</f>
        <v>4</v>
      </c>
      <c r="H1263" s="26">
        <f>IFERROR(__xludf.DUMMYFUNCTION("""COMPUTED_VALUE"""),9.5968)</f>
        <v>9.5968</v>
      </c>
    </row>
    <row r="1264">
      <c r="A1264" s="26" t="str">
        <f>IFERROR(__xludf.DUMMYFUNCTION("""COMPUTED_VALUE"""),"CA-2014-143840")</f>
        <v>CA-2014-143840</v>
      </c>
      <c r="B1264" s="27">
        <f>IFERROR(__xludf.DUMMYFUNCTION("""COMPUTED_VALUE"""),41781.0)</f>
        <v>41781</v>
      </c>
      <c r="C1264" s="26" t="str">
        <f>IFERROR(__xludf.DUMMYFUNCTION("""COMPUTED_VALUE"""),"Consumer")</f>
        <v>Consumer</v>
      </c>
      <c r="D1264" s="26" t="str">
        <f>IFERROR(__xludf.DUMMYFUNCTION("""COMPUTED_VALUE"""),"Alabama")</f>
        <v>Alabama</v>
      </c>
      <c r="E1264" s="26" t="str">
        <f>IFERROR(__xludf.DUMMYFUNCTION("""COMPUTED_VALUE"""),"South")</f>
        <v>South</v>
      </c>
      <c r="F1264" s="26">
        <f>IFERROR(__xludf.DUMMYFUNCTION("""COMPUTED_VALUE"""),135.98)</f>
        <v>135.98</v>
      </c>
      <c r="G1264" s="26">
        <f>IFERROR(__xludf.DUMMYFUNCTION("""COMPUTED_VALUE"""),2.0)</f>
        <v>2</v>
      </c>
      <c r="H1264" s="26">
        <f>IFERROR(__xludf.DUMMYFUNCTION("""COMPUTED_VALUE"""),33.995)</f>
        <v>33.995</v>
      </c>
    </row>
    <row r="1265">
      <c r="A1265" s="26" t="str">
        <f>IFERROR(__xludf.DUMMYFUNCTION("""COMPUTED_VALUE"""),"CA-2014-102988")</f>
        <v>CA-2014-102988</v>
      </c>
      <c r="B1265" s="27">
        <f>IFERROR(__xludf.DUMMYFUNCTION("""COMPUTED_VALUE"""),41734.0)</f>
        <v>41734</v>
      </c>
      <c r="C1265" s="26" t="str">
        <f>IFERROR(__xludf.DUMMYFUNCTION("""COMPUTED_VALUE"""),"Corporate")</f>
        <v>Corporate</v>
      </c>
      <c r="D1265" s="26" t="str">
        <f>IFERROR(__xludf.DUMMYFUNCTION("""COMPUTED_VALUE"""),"Virginia")</f>
        <v>Virginia</v>
      </c>
      <c r="E1265" s="26" t="str">
        <f>IFERROR(__xludf.DUMMYFUNCTION("""COMPUTED_VALUE"""),"South")</f>
        <v>South</v>
      </c>
      <c r="F1265" s="26">
        <f>IFERROR(__xludf.DUMMYFUNCTION("""COMPUTED_VALUE"""),22.96)</f>
        <v>22.96</v>
      </c>
      <c r="G1265" s="26">
        <f>IFERROR(__xludf.DUMMYFUNCTION("""COMPUTED_VALUE"""),7.0)</f>
        <v>7</v>
      </c>
      <c r="H1265" s="26">
        <f>IFERROR(__xludf.DUMMYFUNCTION("""COMPUTED_VALUE"""),7.5768)</f>
        <v>7.5768</v>
      </c>
    </row>
    <row r="1266">
      <c r="A1266" s="26" t="str">
        <f>IFERROR(__xludf.DUMMYFUNCTION("""COMPUTED_VALUE"""),"US-2014-117170")</f>
        <v>US-2014-117170</v>
      </c>
      <c r="B1266" s="27">
        <f>IFERROR(__xludf.DUMMYFUNCTION("""COMPUTED_VALUE"""),41899.0)</f>
        <v>41899</v>
      </c>
      <c r="C1266" s="26" t="str">
        <f>IFERROR(__xludf.DUMMYFUNCTION("""COMPUTED_VALUE"""),"Consumer")</f>
        <v>Consumer</v>
      </c>
      <c r="D1266" s="26" t="str">
        <f>IFERROR(__xludf.DUMMYFUNCTION("""COMPUTED_VALUE"""),"North Carolina")</f>
        <v>North Carolina</v>
      </c>
      <c r="E1266" s="26" t="str">
        <f>IFERROR(__xludf.DUMMYFUNCTION("""COMPUTED_VALUE"""),"South")</f>
        <v>South</v>
      </c>
      <c r="F1266" s="26">
        <f>IFERROR(__xludf.DUMMYFUNCTION("""COMPUTED_VALUE"""),47.984)</f>
        <v>47.984</v>
      </c>
      <c r="G1266" s="26">
        <f>IFERROR(__xludf.DUMMYFUNCTION("""COMPUTED_VALUE"""),2.0)</f>
        <v>2</v>
      </c>
      <c r="H1266" s="26">
        <f>IFERROR(__xludf.DUMMYFUNCTION("""COMPUTED_VALUE"""),13.1956)</f>
        <v>13.1956</v>
      </c>
    </row>
    <row r="1267">
      <c r="A1267" s="26" t="str">
        <f>IFERROR(__xludf.DUMMYFUNCTION("""COMPUTED_VALUE"""),"CA-2014-134551")</f>
        <v>CA-2014-134551</v>
      </c>
      <c r="B1267" s="29">
        <f>IFERROR(__xludf.DUMMYFUNCTION("""COMPUTED_VALUE"""),41993.0)</f>
        <v>41993</v>
      </c>
      <c r="C1267" s="26" t="str">
        <f>IFERROR(__xludf.DUMMYFUNCTION("""COMPUTED_VALUE"""),"Consumer")</f>
        <v>Consumer</v>
      </c>
      <c r="D1267" s="26" t="str">
        <f>IFERROR(__xludf.DUMMYFUNCTION("""COMPUTED_VALUE"""),"Tennessee")</f>
        <v>Tennessee</v>
      </c>
      <c r="E1267" s="26" t="str">
        <f>IFERROR(__xludf.DUMMYFUNCTION("""COMPUTED_VALUE"""),"South")</f>
        <v>South</v>
      </c>
      <c r="F1267" s="26">
        <f>IFERROR(__xludf.DUMMYFUNCTION("""COMPUTED_VALUE"""),43.512)</f>
        <v>43.512</v>
      </c>
      <c r="G1267" s="26">
        <f>IFERROR(__xludf.DUMMYFUNCTION("""COMPUTED_VALUE"""),7.0)</f>
        <v>7</v>
      </c>
      <c r="H1267" s="26">
        <f>IFERROR(__xludf.DUMMYFUNCTION("""COMPUTED_VALUE"""),3.8073)</f>
        <v>3.8073</v>
      </c>
    </row>
    <row r="1268">
      <c r="A1268" s="26" t="str">
        <f>IFERROR(__xludf.DUMMYFUNCTION("""COMPUTED_VALUE"""),"CA-2014-102274")</f>
        <v>CA-2014-102274</v>
      </c>
      <c r="B1268" s="29">
        <f>IFERROR(__xludf.DUMMYFUNCTION("""COMPUTED_VALUE"""),41964.0)</f>
        <v>41964</v>
      </c>
      <c r="C1268" s="26" t="str">
        <f>IFERROR(__xludf.DUMMYFUNCTION("""COMPUTED_VALUE"""),"Corporate")</f>
        <v>Corporate</v>
      </c>
      <c r="D1268" s="26" t="str">
        <f>IFERROR(__xludf.DUMMYFUNCTION("""COMPUTED_VALUE"""),"Kentucky")</f>
        <v>Kentucky</v>
      </c>
      <c r="E1268" s="26" t="str">
        <f>IFERROR(__xludf.DUMMYFUNCTION("""COMPUTED_VALUE"""),"South")</f>
        <v>South</v>
      </c>
      <c r="F1268" s="26">
        <f>IFERROR(__xludf.DUMMYFUNCTION("""COMPUTED_VALUE"""),36.99)</f>
        <v>36.99</v>
      </c>
      <c r="G1268" s="26">
        <f>IFERROR(__xludf.DUMMYFUNCTION("""COMPUTED_VALUE"""),1.0)</f>
        <v>1</v>
      </c>
      <c r="H1268" s="26">
        <f>IFERROR(__xludf.DUMMYFUNCTION("""COMPUTED_VALUE"""),9.9873)</f>
        <v>9.9873</v>
      </c>
    </row>
    <row r="1269">
      <c r="A1269" s="26" t="str">
        <f>IFERROR(__xludf.DUMMYFUNCTION("""COMPUTED_VALUE"""),"CA-2014-157609")</f>
        <v>CA-2014-157609</v>
      </c>
      <c r="B1269" s="27">
        <f>IFERROR(__xludf.DUMMYFUNCTION("""COMPUTED_VALUE"""),41714.0)</f>
        <v>41714</v>
      </c>
      <c r="C1269" s="26" t="str">
        <f>IFERROR(__xludf.DUMMYFUNCTION("""COMPUTED_VALUE"""),"Home Office")</f>
        <v>Home Office</v>
      </c>
      <c r="D1269" s="26" t="str">
        <f>IFERROR(__xludf.DUMMYFUNCTION("""COMPUTED_VALUE"""),"North Carolina")</f>
        <v>North Carolina</v>
      </c>
      <c r="E1269" s="26" t="str">
        <f>IFERROR(__xludf.DUMMYFUNCTION("""COMPUTED_VALUE"""),"South")</f>
        <v>South</v>
      </c>
      <c r="F1269" s="26">
        <f>IFERROR(__xludf.DUMMYFUNCTION("""COMPUTED_VALUE"""),471.92)</f>
        <v>471.92</v>
      </c>
      <c r="G1269" s="26">
        <f>IFERROR(__xludf.DUMMYFUNCTION("""COMPUTED_VALUE"""),2.0)</f>
        <v>2</v>
      </c>
      <c r="H1269" s="26">
        <f>IFERROR(__xludf.DUMMYFUNCTION("""COMPUTED_VALUE"""),29.495)</f>
        <v>29.495</v>
      </c>
    </row>
    <row r="1270">
      <c r="A1270" s="26" t="str">
        <f>IFERROR(__xludf.DUMMYFUNCTION("""COMPUTED_VALUE"""),"CA-2014-124023")</f>
        <v>CA-2014-124023</v>
      </c>
      <c r="B1270" s="27">
        <f>IFERROR(__xludf.DUMMYFUNCTION("""COMPUTED_VALUE"""),41736.0)</f>
        <v>41736</v>
      </c>
      <c r="C1270" s="26" t="str">
        <f>IFERROR(__xludf.DUMMYFUNCTION("""COMPUTED_VALUE"""),"Consumer")</f>
        <v>Consumer</v>
      </c>
      <c r="D1270" s="26" t="str">
        <f>IFERROR(__xludf.DUMMYFUNCTION("""COMPUTED_VALUE"""),"Alabama")</f>
        <v>Alabama</v>
      </c>
      <c r="E1270" s="26" t="str">
        <f>IFERROR(__xludf.DUMMYFUNCTION("""COMPUTED_VALUE"""),"South")</f>
        <v>South</v>
      </c>
      <c r="F1270" s="26">
        <f>IFERROR(__xludf.DUMMYFUNCTION("""COMPUTED_VALUE"""),8.96)</f>
        <v>8.96</v>
      </c>
      <c r="G1270" s="26">
        <f>IFERROR(__xludf.DUMMYFUNCTION("""COMPUTED_VALUE"""),2.0)</f>
        <v>2</v>
      </c>
      <c r="H1270" s="26">
        <f>IFERROR(__xludf.DUMMYFUNCTION("""COMPUTED_VALUE"""),2.7776)</f>
        <v>2.7776</v>
      </c>
    </row>
    <row r="1271">
      <c r="A1271" s="26" t="str">
        <f>IFERROR(__xludf.DUMMYFUNCTION("""COMPUTED_VALUE"""),"CA-2014-124688")</f>
        <v>CA-2014-124688</v>
      </c>
      <c r="B1271" s="27">
        <f>IFERROR(__xludf.DUMMYFUNCTION("""COMPUTED_VALUE"""),41878.0)</f>
        <v>41878</v>
      </c>
      <c r="C1271" s="26" t="str">
        <f>IFERROR(__xludf.DUMMYFUNCTION("""COMPUTED_VALUE"""),"Corporate")</f>
        <v>Corporate</v>
      </c>
      <c r="D1271" s="26" t="str">
        <f>IFERROR(__xludf.DUMMYFUNCTION("""COMPUTED_VALUE"""),"Virginia")</f>
        <v>Virginia</v>
      </c>
      <c r="E1271" s="26" t="str">
        <f>IFERROR(__xludf.DUMMYFUNCTION("""COMPUTED_VALUE"""),"South")</f>
        <v>South</v>
      </c>
      <c r="F1271" s="26">
        <f>IFERROR(__xludf.DUMMYFUNCTION("""COMPUTED_VALUE"""),579.95)</f>
        <v>579.95</v>
      </c>
      <c r="G1271" s="26">
        <f>IFERROR(__xludf.DUMMYFUNCTION("""COMPUTED_VALUE"""),5.0)</f>
        <v>5</v>
      </c>
      <c r="H1271" s="26">
        <f>IFERROR(__xludf.DUMMYFUNCTION("""COMPUTED_VALUE"""),168.1855)</f>
        <v>168.1855</v>
      </c>
    </row>
    <row r="1272">
      <c r="A1272" s="26" t="str">
        <f>IFERROR(__xludf.DUMMYFUNCTION("""COMPUTED_VALUE"""),"CA-2014-158771")</f>
        <v>CA-2014-158771</v>
      </c>
      <c r="B1272" s="27">
        <f>IFERROR(__xludf.DUMMYFUNCTION("""COMPUTED_VALUE"""),41768.0)</f>
        <v>41768</v>
      </c>
      <c r="C1272" s="26" t="str">
        <f>IFERROR(__xludf.DUMMYFUNCTION("""COMPUTED_VALUE"""),"Corporate")</f>
        <v>Corporate</v>
      </c>
      <c r="D1272" s="26" t="str">
        <f>IFERROR(__xludf.DUMMYFUNCTION("""COMPUTED_VALUE"""),"Kentucky")</f>
        <v>Kentucky</v>
      </c>
      <c r="E1272" s="26" t="str">
        <f>IFERROR(__xludf.DUMMYFUNCTION("""COMPUTED_VALUE"""),"South")</f>
        <v>South</v>
      </c>
      <c r="F1272" s="26">
        <f>IFERROR(__xludf.DUMMYFUNCTION("""COMPUTED_VALUE"""),83.25)</f>
        <v>83.25</v>
      </c>
      <c r="G1272" s="26">
        <f>IFERROR(__xludf.DUMMYFUNCTION("""COMPUTED_VALUE"""),3.0)</f>
        <v>3</v>
      </c>
      <c r="H1272" s="26">
        <f>IFERROR(__xludf.DUMMYFUNCTION("""COMPUTED_VALUE"""),14.985)</f>
        <v>14.985</v>
      </c>
    </row>
    <row r="1273">
      <c r="A1273" s="26" t="str">
        <f>IFERROR(__xludf.DUMMYFUNCTION("""COMPUTED_VALUE"""),"CA-2014-159184")</f>
        <v>CA-2014-159184</v>
      </c>
      <c r="B1273" s="27">
        <f>IFERROR(__xludf.DUMMYFUNCTION("""COMPUTED_VALUE"""),41896.0)</f>
        <v>41896</v>
      </c>
      <c r="C1273" s="26" t="str">
        <f>IFERROR(__xludf.DUMMYFUNCTION("""COMPUTED_VALUE"""),"Consumer")</f>
        <v>Consumer</v>
      </c>
      <c r="D1273" s="26" t="str">
        <f>IFERROR(__xludf.DUMMYFUNCTION("""COMPUTED_VALUE"""),"Georgia")</f>
        <v>Georgia</v>
      </c>
      <c r="E1273" s="26" t="str">
        <f>IFERROR(__xludf.DUMMYFUNCTION("""COMPUTED_VALUE"""),"South")</f>
        <v>South</v>
      </c>
      <c r="F1273" s="26">
        <f>IFERROR(__xludf.DUMMYFUNCTION("""COMPUTED_VALUE"""),142.4)</f>
        <v>142.4</v>
      </c>
      <c r="G1273" s="26">
        <f>IFERROR(__xludf.DUMMYFUNCTION("""COMPUTED_VALUE"""),5.0)</f>
        <v>5</v>
      </c>
      <c r="H1273" s="26">
        <f>IFERROR(__xludf.DUMMYFUNCTION("""COMPUTED_VALUE"""),52.688)</f>
        <v>52.688</v>
      </c>
    </row>
    <row r="1274">
      <c r="A1274" s="26" t="str">
        <f>IFERROR(__xludf.DUMMYFUNCTION("""COMPUTED_VALUE"""),"CA-2014-113047")</f>
        <v>CA-2014-113047</v>
      </c>
      <c r="B1274" s="29">
        <f>IFERROR(__xludf.DUMMYFUNCTION("""COMPUTED_VALUE"""),41936.0)</f>
        <v>41936</v>
      </c>
      <c r="C1274" s="26" t="str">
        <f>IFERROR(__xludf.DUMMYFUNCTION("""COMPUTED_VALUE"""),"Consumer")</f>
        <v>Consumer</v>
      </c>
      <c r="D1274" s="26" t="str">
        <f>IFERROR(__xludf.DUMMYFUNCTION("""COMPUTED_VALUE"""),"South Carolina")</f>
        <v>South Carolina</v>
      </c>
      <c r="E1274" s="26" t="str">
        <f>IFERROR(__xludf.DUMMYFUNCTION("""COMPUTED_VALUE"""),"South")</f>
        <v>South</v>
      </c>
      <c r="F1274" s="26">
        <f>IFERROR(__xludf.DUMMYFUNCTION("""COMPUTED_VALUE"""),11.85)</f>
        <v>11.85</v>
      </c>
      <c r="G1274" s="26">
        <f>IFERROR(__xludf.DUMMYFUNCTION("""COMPUTED_VALUE"""),3.0)</f>
        <v>3</v>
      </c>
      <c r="H1274" s="26">
        <f>IFERROR(__xludf.DUMMYFUNCTION("""COMPUTED_VALUE"""),3.792)</f>
        <v>3.792</v>
      </c>
    </row>
    <row r="1275">
      <c r="A1275" s="26" t="str">
        <f>IFERROR(__xludf.DUMMYFUNCTION("""COMPUTED_VALUE"""),"CA-2014-153913")</f>
        <v>CA-2014-153913</v>
      </c>
      <c r="B1275" s="29">
        <f>IFERROR(__xludf.DUMMYFUNCTION("""COMPUTED_VALUE"""),41989.0)</f>
        <v>41989</v>
      </c>
      <c r="C1275" s="26" t="str">
        <f>IFERROR(__xludf.DUMMYFUNCTION("""COMPUTED_VALUE"""),"Corporate")</f>
        <v>Corporate</v>
      </c>
      <c r="D1275" s="26" t="str">
        <f>IFERROR(__xludf.DUMMYFUNCTION("""COMPUTED_VALUE"""),"Florida")</f>
        <v>Florida</v>
      </c>
      <c r="E1275" s="26" t="str">
        <f>IFERROR(__xludf.DUMMYFUNCTION("""COMPUTED_VALUE"""),"South")</f>
        <v>South</v>
      </c>
      <c r="F1275" s="26">
        <f>IFERROR(__xludf.DUMMYFUNCTION("""COMPUTED_VALUE"""),1013.832)</f>
        <v>1013.832</v>
      </c>
      <c r="G1275" s="26">
        <f>IFERROR(__xludf.DUMMYFUNCTION("""COMPUTED_VALUE"""),9.0)</f>
        <v>9</v>
      </c>
      <c r="H1275" s="26">
        <f>IFERROR(__xludf.DUMMYFUNCTION("""COMPUTED_VALUE"""),101.3832)</f>
        <v>101.3832</v>
      </c>
    </row>
    <row r="1276">
      <c r="A1276" s="26" t="str">
        <f>IFERROR(__xludf.DUMMYFUNCTION("""COMPUTED_VALUE"""),"CA-2014-115357")</f>
        <v>CA-2014-115357</v>
      </c>
      <c r="B1276" s="27">
        <f>IFERROR(__xludf.DUMMYFUNCTION("""COMPUTED_VALUE"""),41857.0)</f>
        <v>41857</v>
      </c>
      <c r="C1276" s="26" t="str">
        <f>IFERROR(__xludf.DUMMYFUNCTION("""COMPUTED_VALUE"""),"Consumer")</f>
        <v>Consumer</v>
      </c>
      <c r="D1276" s="26" t="str">
        <f>IFERROR(__xludf.DUMMYFUNCTION("""COMPUTED_VALUE"""),"South Carolina")</f>
        <v>South Carolina</v>
      </c>
      <c r="E1276" s="26" t="str">
        <f>IFERROR(__xludf.DUMMYFUNCTION("""COMPUTED_VALUE"""),"South")</f>
        <v>South</v>
      </c>
      <c r="F1276" s="26">
        <f>IFERROR(__xludf.DUMMYFUNCTION("""COMPUTED_VALUE"""),62.91)</f>
        <v>62.91</v>
      </c>
      <c r="G1276" s="26">
        <f>IFERROR(__xludf.DUMMYFUNCTION("""COMPUTED_VALUE"""),3.0)</f>
        <v>3</v>
      </c>
      <c r="H1276" s="26">
        <f>IFERROR(__xludf.DUMMYFUNCTION("""COMPUTED_VALUE"""),22.6476)</f>
        <v>22.6476</v>
      </c>
    </row>
    <row r="1277">
      <c r="A1277" s="26" t="str">
        <f>IFERROR(__xludf.DUMMYFUNCTION("""COMPUTED_VALUE"""),"US-2014-102715")</f>
        <v>US-2014-102715</v>
      </c>
      <c r="B1277" s="27">
        <f>IFERROR(__xludf.DUMMYFUNCTION("""COMPUTED_VALUE"""),41740.0)</f>
        <v>41740</v>
      </c>
      <c r="C1277" s="26" t="str">
        <f>IFERROR(__xludf.DUMMYFUNCTION("""COMPUTED_VALUE"""),"Consumer")</f>
        <v>Consumer</v>
      </c>
      <c r="D1277" s="26" t="str">
        <f>IFERROR(__xludf.DUMMYFUNCTION("""COMPUTED_VALUE"""),"Florida")</f>
        <v>Florida</v>
      </c>
      <c r="E1277" s="26" t="str">
        <f>IFERROR(__xludf.DUMMYFUNCTION("""COMPUTED_VALUE"""),"South")</f>
        <v>South</v>
      </c>
      <c r="F1277" s="26">
        <f>IFERROR(__xludf.DUMMYFUNCTION("""COMPUTED_VALUE"""),6.912)</f>
        <v>6.912</v>
      </c>
      <c r="G1277" s="26">
        <f>IFERROR(__xludf.DUMMYFUNCTION("""COMPUTED_VALUE"""),3.0)</f>
        <v>3</v>
      </c>
      <c r="H1277" s="26">
        <f>IFERROR(__xludf.DUMMYFUNCTION("""COMPUTED_VALUE"""),2.3328)</f>
        <v>2.3328</v>
      </c>
    </row>
    <row r="1278">
      <c r="A1278" s="26" t="str">
        <f>IFERROR(__xludf.DUMMYFUNCTION("""COMPUTED_VALUE"""),"US-2014-109162")</f>
        <v>US-2014-109162</v>
      </c>
      <c r="B1278" s="27">
        <f>IFERROR(__xludf.DUMMYFUNCTION("""COMPUTED_VALUE"""),41798.0)</f>
        <v>41798</v>
      </c>
      <c r="C1278" s="26" t="str">
        <f>IFERROR(__xludf.DUMMYFUNCTION("""COMPUTED_VALUE"""),"Corporate")</f>
        <v>Corporate</v>
      </c>
      <c r="D1278" s="26" t="str">
        <f>IFERROR(__xludf.DUMMYFUNCTION("""COMPUTED_VALUE"""),"Tennessee")</f>
        <v>Tennessee</v>
      </c>
      <c r="E1278" s="26" t="str">
        <f>IFERROR(__xludf.DUMMYFUNCTION("""COMPUTED_VALUE"""),"South")</f>
        <v>South</v>
      </c>
      <c r="F1278" s="26">
        <f>IFERROR(__xludf.DUMMYFUNCTION("""COMPUTED_VALUE"""),170.352)</f>
        <v>170.352</v>
      </c>
      <c r="G1278" s="26">
        <f>IFERROR(__xludf.DUMMYFUNCTION("""COMPUTED_VALUE"""),3.0)</f>
        <v>3</v>
      </c>
      <c r="H1278" s="26">
        <f>IFERROR(__xludf.DUMMYFUNCTION("""COMPUTED_VALUE"""),10.647)</f>
        <v>10.647</v>
      </c>
    </row>
    <row r="1279">
      <c r="A1279" s="26" t="str">
        <f>IFERROR(__xludf.DUMMYFUNCTION("""COMPUTED_VALUE"""),"CA-2014-152849")</f>
        <v>CA-2014-152849</v>
      </c>
      <c r="B1279" s="27">
        <f>IFERROR(__xludf.DUMMYFUNCTION("""COMPUTED_VALUE"""),41825.0)</f>
        <v>41825</v>
      </c>
      <c r="C1279" s="26" t="str">
        <f>IFERROR(__xludf.DUMMYFUNCTION("""COMPUTED_VALUE"""),"Corporate")</f>
        <v>Corporate</v>
      </c>
      <c r="D1279" s="26" t="str">
        <f>IFERROR(__xludf.DUMMYFUNCTION("""COMPUTED_VALUE"""),"Tennessee")</f>
        <v>Tennessee</v>
      </c>
      <c r="E1279" s="26" t="str">
        <f>IFERROR(__xludf.DUMMYFUNCTION("""COMPUTED_VALUE"""),"South")</f>
        <v>South</v>
      </c>
      <c r="F1279" s="26">
        <f>IFERROR(__xludf.DUMMYFUNCTION("""COMPUTED_VALUE"""),4.368)</f>
        <v>4.368</v>
      </c>
      <c r="G1279" s="26">
        <f>IFERROR(__xludf.DUMMYFUNCTION("""COMPUTED_VALUE"""),3.0)</f>
        <v>3</v>
      </c>
      <c r="H1279" s="26">
        <f>IFERROR(__xludf.DUMMYFUNCTION("""COMPUTED_VALUE"""),0.3822)</f>
        <v>0.3822</v>
      </c>
    </row>
    <row r="1280">
      <c r="A1280" s="26" t="str">
        <f>IFERROR(__xludf.DUMMYFUNCTION("""COMPUTED_VALUE"""),"CA-2014-100895")</f>
        <v>CA-2014-100895</v>
      </c>
      <c r="B1280" s="27">
        <f>IFERROR(__xludf.DUMMYFUNCTION("""COMPUTED_VALUE"""),41792.0)</f>
        <v>41792</v>
      </c>
      <c r="C1280" s="26" t="str">
        <f>IFERROR(__xludf.DUMMYFUNCTION("""COMPUTED_VALUE"""),"Consumer")</f>
        <v>Consumer</v>
      </c>
      <c r="D1280" s="26" t="str">
        <f>IFERROR(__xludf.DUMMYFUNCTION("""COMPUTED_VALUE"""),"Georgia")</f>
        <v>Georgia</v>
      </c>
      <c r="E1280" s="26" t="str">
        <f>IFERROR(__xludf.DUMMYFUNCTION("""COMPUTED_VALUE"""),"South")</f>
        <v>South</v>
      </c>
      <c r="F1280" s="26">
        <f>IFERROR(__xludf.DUMMYFUNCTION("""COMPUTED_VALUE"""),8.56)</f>
        <v>8.56</v>
      </c>
      <c r="G1280" s="26">
        <f>IFERROR(__xludf.DUMMYFUNCTION("""COMPUTED_VALUE"""),2.0)</f>
        <v>2</v>
      </c>
      <c r="H1280" s="26">
        <f>IFERROR(__xludf.DUMMYFUNCTION("""COMPUTED_VALUE"""),2.6536)</f>
        <v>2.6536</v>
      </c>
    </row>
    <row r="1281">
      <c r="A1281" s="26" t="str">
        <f>IFERROR(__xludf.DUMMYFUNCTION("""COMPUTED_VALUE"""),"CA-2014-164910")</f>
        <v>CA-2014-164910</v>
      </c>
      <c r="B1281" s="29">
        <f>IFERROR(__xludf.DUMMYFUNCTION("""COMPUTED_VALUE"""),41955.0)</f>
        <v>41955</v>
      </c>
      <c r="C1281" s="26" t="str">
        <f>IFERROR(__xludf.DUMMYFUNCTION("""COMPUTED_VALUE"""),"Corporate")</f>
        <v>Corporate</v>
      </c>
      <c r="D1281" s="26" t="str">
        <f>IFERROR(__xludf.DUMMYFUNCTION("""COMPUTED_VALUE"""),"North Carolina")</f>
        <v>North Carolina</v>
      </c>
      <c r="E1281" s="26" t="str">
        <f>IFERROR(__xludf.DUMMYFUNCTION("""COMPUTED_VALUE"""),"South")</f>
        <v>South</v>
      </c>
      <c r="F1281" s="26">
        <f>IFERROR(__xludf.DUMMYFUNCTION("""COMPUTED_VALUE"""),7.872)</f>
        <v>7.872</v>
      </c>
      <c r="G1281" s="26">
        <f>IFERROR(__xludf.DUMMYFUNCTION("""COMPUTED_VALUE"""),3.0)</f>
        <v>3</v>
      </c>
      <c r="H1281" s="26">
        <f>IFERROR(__xludf.DUMMYFUNCTION("""COMPUTED_VALUE"""),0.8856)</f>
        <v>0.8856</v>
      </c>
    </row>
    <row r="1282">
      <c r="A1282" s="26" t="str">
        <f>IFERROR(__xludf.DUMMYFUNCTION("""COMPUTED_VALUE"""),"US-2014-130358")</f>
        <v>US-2014-130358</v>
      </c>
      <c r="B1282" s="27">
        <f>IFERROR(__xludf.DUMMYFUNCTION("""COMPUTED_VALUE"""),41813.0)</f>
        <v>41813</v>
      </c>
      <c r="C1282" s="26" t="str">
        <f>IFERROR(__xludf.DUMMYFUNCTION("""COMPUTED_VALUE"""),"Consumer")</f>
        <v>Consumer</v>
      </c>
      <c r="D1282" s="26" t="str">
        <f>IFERROR(__xludf.DUMMYFUNCTION("""COMPUTED_VALUE"""),"North Carolina")</f>
        <v>North Carolina</v>
      </c>
      <c r="E1282" s="26" t="str">
        <f>IFERROR(__xludf.DUMMYFUNCTION("""COMPUTED_VALUE"""),"South")</f>
        <v>South</v>
      </c>
      <c r="F1282" s="26">
        <f>IFERROR(__xludf.DUMMYFUNCTION("""COMPUTED_VALUE"""),20.016)</f>
        <v>20.016</v>
      </c>
      <c r="G1282" s="26">
        <f>IFERROR(__xludf.DUMMYFUNCTION("""COMPUTED_VALUE"""),9.0)</f>
        <v>9</v>
      </c>
      <c r="H1282" s="26">
        <f>IFERROR(__xludf.DUMMYFUNCTION("""COMPUTED_VALUE"""),1.7514)</f>
        <v>1.7514</v>
      </c>
    </row>
    <row r="1283">
      <c r="A1283" s="26" t="str">
        <f>IFERROR(__xludf.DUMMYFUNCTION("""COMPUTED_VALUE"""),"CA-2014-102673")</f>
        <v>CA-2014-102673</v>
      </c>
      <c r="B1283" s="27">
        <f>IFERROR(__xludf.DUMMYFUNCTION("""COMPUTED_VALUE"""),41944.0)</f>
        <v>41944</v>
      </c>
      <c r="C1283" s="26" t="str">
        <f>IFERROR(__xludf.DUMMYFUNCTION("""COMPUTED_VALUE"""),"Corporate")</f>
        <v>Corporate</v>
      </c>
      <c r="D1283" s="26" t="str">
        <f>IFERROR(__xludf.DUMMYFUNCTION("""COMPUTED_VALUE"""),"North Carolina")</f>
        <v>North Carolina</v>
      </c>
      <c r="E1283" s="26" t="str">
        <f>IFERROR(__xludf.DUMMYFUNCTION("""COMPUTED_VALUE"""),"South")</f>
        <v>South</v>
      </c>
      <c r="F1283" s="26">
        <f>IFERROR(__xludf.DUMMYFUNCTION("""COMPUTED_VALUE"""),7.52)</f>
        <v>7.52</v>
      </c>
      <c r="G1283" s="26">
        <f>IFERROR(__xludf.DUMMYFUNCTION("""COMPUTED_VALUE"""),5.0)</f>
        <v>5</v>
      </c>
      <c r="H1283" s="26">
        <f>IFERROR(__xludf.DUMMYFUNCTION("""COMPUTED_VALUE"""),1.41)</f>
        <v>1.41</v>
      </c>
    </row>
    <row r="1284">
      <c r="A1284" s="26" t="str">
        <f>IFERROR(__xludf.DUMMYFUNCTION("""COMPUTED_VALUE"""),"US-2014-156559")</f>
        <v>US-2014-156559</v>
      </c>
      <c r="B1284" s="27">
        <f>IFERROR(__xludf.DUMMYFUNCTION("""COMPUTED_VALUE"""),41870.0)</f>
        <v>41870</v>
      </c>
      <c r="C1284" s="26" t="str">
        <f>IFERROR(__xludf.DUMMYFUNCTION("""COMPUTED_VALUE"""),"Consumer")</f>
        <v>Consumer</v>
      </c>
      <c r="D1284" s="26" t="str">
        <f>IFERROR(__xludf.DUMMYFUNCTION("""COMPUTED_VALUE"""),"Arkansas")</f>
        <v>Arkansas</v>
      </c>
      <c r="E1284" s="26" t="str">
        <f>IFERROR(__xludf.DUMMYFUNCTION("""COMPUTED_VALUE"""),"South")</f>
        <v>South</v>
      </c>
      <c r="F1284" s="26">
        <f>IFERROR(__xludf.DUMMYFUNCTION("""COMPUTED_VALUE"""),638.82)</f>
        <v>638.82</v>
      </c>
      <c r="G1284" s="26">
        <f>IFERROR(__xludf.DUMMYFUNCTION("""COMPUTED_VALUE"""),9.0)</f>
        <v>9</v>
      </c>
      <c r="H1284" s="26">
        <f>IFERROR(__xludf.DUMMYFUNCTION("""COMPUTED_VALUE"""),172.4814)</f>
        <v>172.4814</v>
      </c>
    </row>
    <row r="1285">
      <c r="A1285" s="26" t="str">
        <f>IFERROR(__xludf.DUMMYFUNCTION("""COMPUTED_VALUE"""),"CA-2014-127299")</f>
        <v>CA-2014-127299</v>
      </c>
      <c r="B1285" s="27">
        <f>IFERROR(__xludf.DUMMYFUNCTION("""COMPUTED_VALUE"""),41901.0)</f>
        <v>41901</v>
      </c>
      <c r="C1285" s="26" t="str">
        <f>IFERROR(__xludf.DUMMYFUNCTION("""COMPUTED_VALUE"""),"Consumer")</f>
        <v>Consumer</v>
      </c>
      <c r="D1285" s="26" t="str">
        <f>IFERROR(__xludf.DUMMYFUNCTION("""COMPUTED_VALUE"""),"North Carolina")</f>
        <v>North Carolina</v>
      </c>
      <c r="E1285" s="26" t="str">
        <f>IFERROR(__xludf.DUMMYFUNCTION("""COMPUTED_VALUE"""),"South")</f>
        <v>South</v>
      </c>
      <c r="F1285" s="26">
        <f>IFERROR(__xludf.DUMMYFUNCTION("""COMPUTED_VALUE"""),67.344)</f>
        <v>67.344</v>
      </c>
      <c r="G1285" s="26">
        <f>IFERROR(__xludf.DUMMYFUNCTION("""COMPUTED_VALUE"""),6.0)</f>
        <v>6</v>
      </c>
      <c r="H1285" s="26">
        <f>IFERROR(__xludf.DUMMYFUNCTION("""COMPUTED_VALUE"""),7.5762)</f>
        <v>7.5762</v>
      </c>
    </row>
    <row r="1286">
      <c r="A1286" s="26" t="str">
        <f>IFERROR(__xludf.DUMMYFUNCTION("""COMPUTED_VALUE"""),"CA-2014-128839")</f>
        <v>CA-2014-128839</v>
      </c>
      <c r="B1286" s="27">
        <f>IFERROR(__xludf.DUMMYFUNCTION("""COMPUTED_VALUE"""),41890.0)</f>
        <v>41890</v>
      </c>
      <c r="C1286" s="26" t="str">
        <f>IFERROR(__xludf.DUMMYFUNCTION("""COMPUTED_VALUE"""),"Consumer")</f>
        <v>Consumer</v>
      </c>
      <c r="D1286" s="26" t="str">
        <f>IFERROR(__xludf.DUMMYFUNCTION("""COMPUTED_VALUE"""),"Virginia")</f>
        <v>Virginia</v>
      </c>
      <c r="E1286" s="26" t="str">
        <f>IFERROR(__xludf.DUMMYFUNCTION("""COMPUTED_VALUE"""),"South")</f>
        <v>South</v>
      </c>
      <c r="F1286" s="26">
        <f>IFERROR(__xludf.DUMMYFUNCTION("""COMPUTED_VALUE"""),45.0)</f>
        <v>45</v>
      </c>
      <c r="G1286" s="26">
        <f>IFERROR(__xludf.DUMMYFUNCTION("""COMPUTED_VALUE"""),9.0)</f>
        <v>9</v>
      </c>
      <c r="H1286" s="26">
        <f>IFERROR(__xludf.DUMMYFUNCTION("""COMPUTED_VALUE"""),21.6)</f>
        <v>21.6</v>
      </c>
    </row>
    <row r="1287">
      <c r="A1287" s="26" t="str">
        <f>IFERROR(__xludf.DUMMYFUNCTION("""COMPUTED_VALUE"""),"CA-2014-128846")</f>
        <v>CA-2014-128846</v>
      </c>
      <c r="B1287" s="27">
        <f>IFERROR(__xludf.DUMMYFUNCTION("""COMPUTED_VALUE"""),41736.0)</f>
        <v>41736</v>
      </c>
      <c r="C1287" s="26" t="str">
        <f>IFERROR(__xludf.DUMMYFUNCTION("""COMPUTED_VALUE"""),"Corporate")</f>
        <v>Corporate</v>
      </c>
      <c r="D1287" s="26" t="str">
        <f>IFERROR(__xludf.DUMMYFUNCTION("""COMPUTED_VALUE"""),"South Carolina")</f>
        <v>South Carolina</v>
      </c>
      <c r="E1287" s="26" t="str">
        <f>IFERROR(__xludf.DUMMYFUNCTION("""COMPUTED_VALUE"""),"South")</f>
        <v>South</v>
      </c>
      <c r="F1287" s="26">
        <f>IFERROR(__xludf.DUMMYFUNCTION("""COMPUTED_VALUE"""),629.95)</f>
        <v>629.95</v>
      </c>
      <c r="G1287" s="26">
        <f>IFERROR(__xludf.DUMMYFUNCTION("""COMPUTED_VALUE"""),5.0)</f>
        <v>5</v>
      </c>
      <c r="H1287" s="26">
        <f>IFERROR(__xludf.DUMMYFUNCTION("""COMPUTED_VALUE"""),163.787)</f>
        <v>163.787</v>
      </c>
    </row>
    <row r="1288">
      <c r="A1288" s="26" t="str">
        <f>IFERROR(__xludf.DUMMYFUNCTION("""COMPUTED_VALUE"""),"CA-2014-166457")</f>
        <v>CA-2014-166457</v>
      </c>
      <c r="B1288" s="27">
        <f>IFERROR(__xludf.DUMMYFUNCTION("""COMPUTED_VALUE"""),41764.0)</f>
        <v>41764</v>
      </c>
      <c r="C1288" s="26" t="str">
        <f>IFERROR(__xludf.DUMMYFUNCTION("""COMPUTED_VALUE"""),"Consumer")</f>
        <v>Consumer</v>
      </c>
      <c r="D1288" s="26" t="str">
        <f>IFERROR(__xludf.DUMMYFUNCTION("""COMPUTED_VALUE"""),"Kentucky")</f>
        <v>Kentucky</v>
      </c>
      <c r="E1288" s="26" t="str">
        <f>IFERROR(__xludf.DUMMYFUNCTION("""COMPUTED_VALUE"""),"South")</f>
        <v>South</v>
      </c>
      <c r="F1288" s="26">
        <f>IFERROR(__xludf.DUMMYFUNCTION("""COMPUTED_VALUE"""),9.42)</f>
        <v>9.42</v>
      </c>
      <c r="G1288" s="26">
        <f>IFERROR(__xludf.DUMMYFUNCTION("""COMPUTED_VALUE"""),3.0)</f>
        <v>3</v>
      </c>
      <c r="H1288" s="26">
        <f>IFERROR(__xludf.DUMMYFUNCTION("""COMPUTED_VALUE"""),4.239)</f>
        <v>4.239</v>
      </c>
    </row>
    <row r="1289">
      <c r="A1289" s="26" t="str">
        <f>IFERROR(__xludf.DUMMYFUNCTION("""COMPUTED_VALUE"""),"CA-2014-117016")</f>
        <v>CA-2014-117016</v>
      </c>
      <c r="B1289" s="27">
        <f>IFERROR(__xludf.DUMMYFUNCTION("""COMPUTED_VALUE"""),41702.0)</f>
        <v>41702</v>
      </c>
      <c r="C1289" s="26" t="str">
        <f>IFERROR(__xludf.DUMMYFUNCTION("""COMPUTED_VALUE"""),"Consumer")</f>
        <v>Consumer</v>
      </c>
      <c r="D1289" s="26" t="str">
        <f>IFERROR(__xludf.DUMMYFUNCTION("""COMPUTED_VALUE"""),"Florida")</f>
        <v>Florida</v>
      </c>
      <c r="E1289" s="26" t="str">
        <f>IFERROR(__xludf.DUMMYFUNCTION("""COMPUTED_VALUE"""),"South")</f>
        <v>South</v>
      </c>
      <c r="F1289" s="26">
        <f>IFERROR(__xludf.DUMMYFUNCTION("""COMPUTED_VALUE"""),15.552)</f>
        <v>15.552</v>
      </c>
      <c r="G1289" s="26">
        <f>IFERROR(__xludf.DUMMYFUNCTION("""COMPUTED_VALUE"""),3.0)</f>
        <v>3</v>
      </c>
      <c r="H1289" s="26">
        <f>IFERROR(__xludf.DUMMYFUNCTION("""COMPUTED_VALUE"""),2.3328)</f>
        <v>2.3328</v>
      </c>
    </row>
    <row r="1290">
      <c r="A1290" s="26" t="str">
        <f>IFERROR(__xludf.DUMMYFUNCTION("""COMPUTED_VALUE"""),"CA-2014-146885")</f>
        <v>CA-2014-146885</v>
      </c>
      <c r="B1290" s="27">
        <f>IFERROR(__xludf.DUMMYFUNCTION("""COMPUTED_VALUE"""),41789.0)</f>
        <v>41789</v>
      </c>
      <c r="C1290" s="26" t="str">
        <f>IFERROR(__xludf.DUMMYFUNCTION("""COMPUTED_VALUE"""),"Corporate")</f>
        <v>Corporate</v>
      </c>
      <c r="D1290" s="26" t="str">
        <f>IFERROR(__xludf.DUMMYFUNCTION("""COMPUTED_VALUE"""),"Virginia")</f>
        <v>Virginia</v>
      </c>
      <c r="E1290" s="26" t="str">
        <f>IFERROR(__xludf.DUMMYFUNCTION("""COMPUTED_VALUE"""),"South")</f>
        <v>South</v>
      </c>
      <c r="F1290" s="26">
        <f>IFERROR(__xludf.DUMMYFUNCTION("""COMPUTED_VALUE"""),13.62)</f>
        <v>13.62</v>
      </c>
      <c r="G1290" s="26">
        <f>IFERROR(__xludf.DUMMYFUNCTION("""COMPUTED_VALUE"""),3.0)</f>
        <v>3</v>
      </c>
      <c r="H1290" s="26">
        <f>IFERROR(__xludf.DUMMYFUNCTION("""COMPUTED_VALUE"""),6.129)</f>
        <v>6.129</v>
      </c>
    </row>
    <row r="1291">
      <c r="A1291" s="26" t="str">
        <f>IFERROR(__xludf.DUMMYFUNCTION("""COMPUTED_VALUE"""),"CA-2014-152562")</f>
        <v>CA-2014-152562</v>
      </c>
      <c r="B1291" s="27">
        <f>IFERROR(__xludf.DUMMYFUNCTION("""COMPUTED_VALUE"""),41944.0)</f>
        <v>41944</v>
      </c>
      <c r="C1291" s="26" t="str">
        <f>IFERROR(__xludf.DUMMYFUNCTION("""COMPUTED_VALUE"""),"Corporate")</f>
        <v>Corporate</v>
      </c>
      <c r="D1291" s="26" t="str">
        <f>IFERROR(__xludf.DUMMYFUNCTION("""COMPUTED_VALUE"""),"Kentucky")</f>
        <v>Kentucky</v>
      </c>
      <c r="E1291" s="26" t="str">
        <f>IFERROR(__xludf.DUMMYFUNCTION("""COMPUTED_VALUE"""),"South")</f>
        <v>South</v>
      </c>
      <c r="F1291" s="26">
        <f>IFERROR(__xludf.DUMMYFUNCTION("""COMPUTED_VALUE"""),69.52)</f>
        <v>69.52</v>
      </c>
      <c r="G1291" s="26">
        <f>IFERROR(__xludf.DUMMYFUNCTION("""COMPUTED_VALUE"""),2.0)</f>
        <v>2</v>
      </c>
      <c r="H1291" s="26">
        <f>IFERROR(__xludf.DUMMYFUNCTION("""COMPUTED_VALUE"""),19.4656)</f>
        <v>19.4656</v>
      </c>
    </row>
    <row r="1292">
      <c r="A1292" s="26" t="str">
        <f>IFERROR(__xludf.DUMMYFUNCTION("""COMPUTED_VALUE"""),"US-2014-155817")</f>
        <v>US-2014-155817</v>
      </c>
      <c r="B1292" s="27">
        <f>IFERROR(__xludf.DUMMYFUNCTION("""COMPUTED_VALUE"""),41915.0)</f>
        <v>41915</v>
      </c>
      <c r="C1292" s="26" t="str">
        <f>IFERROR(__xludf.DUMMYFUNCTION("""COMPUTED_VALUE"""),"Home Office")</f>
        <v>Home Office</v>
      </c>
      <c r="D1292" s="26" t="str">
        <f>IFERROR(__xludf.DUMMYFUNCTION("""COMPUTED_VALUE"""),"North Carolina")</f>
        <v>North Carolina</v>
      </c>
      <c r="E1292" s="26" t="str">
        <f>IFERROR(__xludf.DUMMYFUNCTION("""COMPUTED_VALUE"""),"South")</f>
        <v>South</v>
      </c>
      <c r="F1292" s="26">
        <f>IFERROR(__xludf.DUMMYFUNCTION("""COMPUTED_VALUE"""),61.568)</f>
        <v>61.568</v>
      </c>
      <c r="G1292" s="26">
        <f>IFERROR(__xludf.DUMMYFUNCTION("""COMPUTED_VALUE"""),2.0)</f>
        <v>2</v>
      </c>
      <c r="H1292" s="26">
        <f>IFERROR(__xludf.DUMMYFUNCTION("""COMPUTED_VALUE"""),4.6176)</f>
        <v>4.6176</v>
      </c>
    </row>
    <row r="1293">
      <c r="A1293" s="26" t="str">
        <f>IFERROR(__xludf.DUMMYFUNCTION("""COMPUTED_VALUE"""),"CA-2014-156006")</f>
        <v>CA-2014-156006</v>
      </c>
      <c r="B1293" s="27">
        <f>IFERROR(__xludf.DUMMYFUNCTION("""COMPUTED_VALUE"""),41759.0)</f>
        <v>41759</v>
      </c>
      <c r="C1293" s="26" t="str">
        <f>IFERROR(__xludf.DUMMYFUNCTION("""COMPUTED_VALUE"""),"Consumer")</f>
        <v>Consumer</v>
      </c>
      <c r="D1293" s="26" t="str">
        <f>IFERROR(__xludf.DUMMYFUNCTION("""COMPUTED_VALUE"""),"Mississippi")</f>
        <v>Mississippi</v>
      </c>
      <c r="E1293" s="26" t="str">
        <f>IFERROR(__xludf.DUMMYFUNCTION("""COMPUTED_VALUE"""),"South")</f>
        <v>South</v>
      </c>
      <c r="F1293" s="26">
        <f>IFERROR(__xludf.DUMMYFUNCTION("""COMPUTED_VALUE"""),47.79)</f>
        <v>47.79</v>
      </c>
      <c r="G1293" s="26">
        <f>IFERROR(__xludf.DUMMYFUNCTION("""COMPUTED_VALUE"""),3.0)</f>
        <v>3</v>
      </c>
      <c r="H1293" s="26">
        <f>IFERROR(__xludf.DUMMYFUNCTION("""COMPUTED_VALUE"""),16.2486)</f>
        <v>16.2486</v>
      </c>
    </row>
    <row r="1294">
      <c r="A1294" s="26" t="str">
        <f>IFERROR(__xludf.DUMMYFUNCTION("""COMPUTED_VALUE"""),"CA-2014-116568")</f>
        <v>CA-2014-116568</v>
      </c>
      <c r="B1294" s="29">
        <f>IFERROR(__xludf.DUMMYFUNCTION("""COMPUTED_VALUE"""),41987.0)</f>
        <v>41987</v>
      </c>
      <c r="C1294" s="26" t="str">
        <f>IFERROR(__xludf.DUMMYFUNCTION("""COMPUTED_VALUE"""),"Consumer")</f>
        <v>Consumer</v>
      </c>
      <c r="D1294" s="26" t="str">
        <f>IFERROR(__xludf.DUMMYFUNCTION("""COMPUTED_VALUE"""),"Florida")</f>
        <v>Florida</v>
      </c>
      <c r="E1294" s="26" t="str">
        <f>IFERROR(__xludf.DUMMYFUNCTION("""COMPUTED_VALUE"""),"South")</f>
        <v>South</v>
      </c>
      <c r="F1294" s="26">
        <f>IFERROR(__xludf.DUMMYFUNCTION("""COMPUTED_VALUE"""),186.304)</f>
        <v>186.304</v>
      </c>
      <c r="G1294" s="26">
        <f>IFERROR(__xludf.DUMMYFUNCTION("""COMPUTED_VALUE"""),4.0)</f>
        <v>4</v>
      </c>
      <c r="H1294" s="26">
        <f>IFERROR(__xludf.DUMMYFUNCTION("""COMPUTED_VALUE"""),13.9728)</f>
        <v>13.9728</v>
      </c>
    </row>
    <row r="1295">
      <c r="A1295" s="26" t="str">
        <f>IFERROR(__xludf.DUMMYFUNCTION("""COMPUTED_VALUE"""),"CA-2014-149538")</f>
        <v>CA-2014-149538</v>
      </c>
      <c r="B1295" s="27">
        <f>IFERROR(__xludf.DUMMYFUNCTION("""COMPUTED_VALUE"""),41733.0)</f>
        <v>41733</v>
      </c>
      <c r="C1295" s="26" t="str">
        <f>IFERROR(__xludf.DUMMYFUNCTION("""COMPUTED_VALUE"""),"Corporate")</f>
        <v>Corporate</v>
      </c>
      <c r="D1295" s="26" t="str">
        <f>IFERROR(__xludf.DUMMYFUNCTION("""COMPUTED_VALUE"""),"Louisiana")</f>
        <v>Louisiana</v>
      </c>
      <c r="E1295" s="26" t="str">
        <f>IFERROR(__xludf.DUMMYFUNCTION("""COMPUTED_VALUE"""),"South")</f>
        <v>South</v>
      </c>
      <c r="F1295" s="26">
        <f>IFERROR(__xludf.DUMMYFUNCTION("""COMPUTED_VALUE"""),232.55)</f>
        <v>232.55</v>
      </c>
      <c r="G1295" s="26">
        <f>IFERROR(__xludf.DUMMYFUNCTION("""COMPUTED_VALUE"""),5.0)</f>
        <v>5</v>
      </c>
      <c r="H1295" s="26">
        <f>IFERROR(__xludf.DUMMYFUNCTION("""COMPUTED_VALUE"""),9.302)</f>
        <v>9.302</v>
      </c>
    </row>
    <row r="1296">
      <c r="A1296" s="26" t="str">
        <f>IFERROR(__xludf.DUMMYFUNCTION("""COMPUTED_VALUE"""),"CA-2014-101560")</f>
        <v>CA-2014-101560</v>
      </c>
      <c r="B1296" s="29">
        <f>IFERROR(__xludf.DUMMYFUNCTION("""COMPUTED_VALUE"""),41971.0)</f>
        <v>41971</v>
      </c>
      <c r="C1296" s="26" t="str">
        <f>IFERROR(__xludf.DUMMYFUNCTION("""COMPUTED_VALUE"""),"Corporate")</f>
        <v>Corporate</v>
      </c>
      <c r="D1296" s="26" t="str">
        <f>IFERROR(__xludf.DUMMYFUNCTION("""COMPUTED_VALUE"""),"South Carolina")</f>
        <v>South Carolina</v>
      </c>
      <c r="E1296" s="26" t="str">
        <f>IFERROR(__xludf.DUMMYFUNCTION("""COMPUTED_VALUE"""),"South")</f>
        <v>South</v>
      </c>
      <c r="F1296" s="26">
        <f>IFERROR(__xludf.DUMMYFUNCTION("""COMPUTED_VALUE"""),397.6)</f>
        <v>397.6</v>
      </c>
      <c r="G1296" s="26">
        <f>IFERROR(__xludf.DUMMYFUNCTION("""COMPUTED_VALUE"""),5.0)</f>
        <v>5</v>
      </c>
      <c r="H1296" s="26">
        <f>IFERROR(__xludf.DUMMYFUNCTION("""COMPUTED_VALUE"""),43.736)</f>
        <v>43.736</v>
      </c>
    </row>
    <row r="1297">
      <c r="A1297" s="26" t="str">
        <f>IFERROR(__xludf.DUMMYFUNCTION("""COMPUTED_VALUE"""),"CA-2014-115084")</f>
        <v>CA-2014-115084</v>
      </c>
      <c r="B1297" s="29">
        <f>IFERROR(__xludf.DUMMYFUNCTION("""COMPUTED_VALUE"""),41930.0)</f>
        <v>41930</v>
      </c>
      <c r="C1297" s="26" t="str">
        <f>IFERROR(__xludf.DUMMYFUNCTION("""COMPUTED_VALUE"""),"Corporate")</f>
        <v>Corporate</v>
      </c>
      <c r="D1297" s="26" t="str">
        <f>IFERROR(__xludf.DUMMYFUNCTION("""COMPUTED_VALUE"""),"Arkansas")</f>
        <v>Arkansas</v>
      </c>
      <c r="E1297" s="26" t="str">
        <f>IFERROR(__xludf.DUMMYFUNCTION("""COMPUTED_VALUE"""),"South")</f>
        <v>South</v>
      </c>
      <c r="F1297" s="26">
        <f>IFERROR(__xludf.DUMMYFUNCTION("""COMPUTED_VALUE"""),605.34)</f>
        <v>605.34</v>
      </c>
      <c r="G1297" s="26">
        <f>IFERROR(__xludf.DUMMYFUNCTION("""COMPUTED_VALUE"""),6.0)</f>
        <v>6</v>
      </c>
      <c r="H1297" s="26">
        <f>IFERROR(__xludf.DUMMYFUNCTION("""COMPUTED_VALUE"""),145.2816)</f>
        <v>145.2816</v>
      </c>
    </row>
    <row r="1298">
      <c r="A1298" s="26" t="str">
        <f>IFERROR(__xludf.DUMMYFUNCTION("""COMPUTED_VALUE"""),"CA-2014-159681")</f>
        <v>CA-2014-159681</v>
      </c>
      <c r="B1298" s="27">
        <f>IFERROR(__xludf.DUMMYFUNCTION("""COMPUTED_VALUE"""),41980.0)</f>
        <v>41980</v>
      </c>
      <c r="C1298" s="26" t="str">
        <f>IFERROR(__xludf.DUMMYFUNCTION("""COMPUTED_VALUE"""),"Consumer")</f>
        <v>Consumer</v>
      </c>
      <c r="D1298" s="26" t="str">
        <f>IFERROR(__xludf.DUMMYFUNCTION("""COMPUTED_VALUE"""),"Virginia")</f>
        <v>Virginia</v>
      </c>
      <c r="E1298" s="26" t="str">
        <f>IFERROR(__xludf.DUMMYFUNCTION("""COMPUTED_VALUE"""),"South")</f>
        <v>South</v>
      </c>
      <c r="F1298" s="26">
        <f>IFERROR(__xludf.DUMMYFUNCTION("""COMPUTED_VALUE"""),105.52)</f>
        <v>105.52</v>
      </c>
      <c r="G1298" s="26">
        <f>IFERROR(__xludf.DUMMYFUNCTION("""COMPUTED_VALUE"""),4.0)</f>
        <v>4</v>
      </c>
      <c r="H1298" s="26">
        <f>IFERROR(__xludf.DUMMYFUNCTION("""COMPUTED_VALUE"""),48.5392)</f>
        <v>48.5392</v>
      </c>
    </row>
    <row r="1299">
      <c r="A1299" s="26" t="str">
        <f>IFERROR(__xludf.DUMMYFUNCTION("""COMPUTED_VALUE"""),"CA-2014-136861")</f>
        <v>CA-2014-136861</v>
      </c>
      <c r="B1299" s="27">
        <f>IFERROR(__xludf.DUMMYFUNCTION("""COMPUTED_VALUE"""),41887.0)</f>
        <v>41887</v>
      </c>
      <c r="C1299" s="26" t="str">
        <f>IFERROR(__xludf.DUMMYFUNCTION("""COMPUTED_VALUE"""),"Consumer")</f>
        <v>Consumer</v>
      </c>
      <c r="D1299" s="26" t="str">
        <f>IFERROR(__xludf.DUMMYFUNCTION("""COMPUTED_VALUE"""),"Florida")</f>
        <v>Florida</v>
      </c>
      <c r="E1299" s="26" t="str">
        <f>IFERROR(__xludf.DUMMYFUNCTION("""COMPUTED_VALUE"""),"South")</f>
        <v>South</v>
      </c>
      <c r="F1299" s="26">
        <f>IFERROR(__xludf.DUMMYFUNCTION("""COMPUTED_VALUE"""),31.984)</f>
        <v>31.984</v>
      </c>
      <c r="G1299" s="26">
        <f>IFERROR(__xludf.DUMMYFUNCTION("""COMPUTED_VALUE"""),2.0)</f>
        <v>2</v>
      </c>
      <c r="H1299" s="26">
        <f>IFERROR(__xludf.DUMMYFUNCTION("""COMPUTED_VALUE"""),1.999)</f>
        <v>1.999</v>
      </c>
    </row>
    <row r="1300">
      <c r="A1300" s="26" t="str">
        <f>IFERROR(__xludf.DUMMYFUNCTION("""COMPUTED_VALUE"""),"CA-2014-103317")</f>
        <v>CA-2014-103317</v>
      </c>
      <c r="B1300" s="27">
        <f>IFERROR(__xludf.DUMMYFUNCTION("""COMPUTED_VALUE"""),41825.0)</f>
        <v>41825</v>
      </c>
      <c r="C1300" s="26" t="str">
        <f>IFERROR(__xludf.DUMMYFUNCTION("""COMPUTED_VALUE"""),"Corporate")</f>
        <v>Corporate</v>
      </c>
      <c r="D1300" s="26" t="str">
        <f>IFERROR(__xludf.DUMMYFUNCTION("""COMPUTED_VALUE"""),"Florida")</f>
        <v>Florida</v>
      </c>
      <c r="E1300" s="26" t="str">
        <f>IFERROR(__xludf.DUMMYFUNCTION("""COMPUTED_VALUE"""),"South")</f>
        <v>South</v>
      </c>
      <c r="F1300" s="26">
        <f>IFERROR(__xludf.DUMMYFUNCTION("""COMPUTED_VALUE"""),19.52)</f>
        <v>19.52</v>
      </c>
      <c r="G1300" s="26">
        <f>IFERROR(__xludf.DUMMYFUNCTION("""COMPUTED_VALUE"""),2.0)</f>
        <v>2</v>
      </c>
      <c r="H1300" s="26">
        <f>IFERROR(__xludf.DUMMYFUNCTION("""COMPUTED_VALUE"""),5.368)</f>
        <v>5.368</v>
      </c>
    </row>
    <row r="1301">
      <c r="A1301" s="26" t="str">
        <f>IFERROR(__xludf.DUMMYFUNCTION("""COMPUTED_VALUE"""),"US-2014-107405")</f>
        <v>US-2014-107405</v>
      </c>
      <c r="B1301" s="27">
        <f>IFERROR(__xludf.DUMMYFUNCTION("""COMPUTED_VALUE"""),41719.0)</f>
        <v>41719</v>
      </c>
      <c r="C1301" s="26" t="str">
        <f>IFERROR(__xludf.DUMMYFUNCTION("""COMPUTED_VALUE"""),"Corporate")</f>
        <v>Corporate</v>
      </c>
      <c r="D1301" s="26" t="str">
        <f>IFERROR(__xludf.DUMMYFUNCTION("""COMPUTED_VALUE"""),"North Carolina")</f>
        <v>North Carolina</v>
      </c>
      <c r="E1301" s="26" t="str">
        <f>IFERROR(__xludf.DUMMYFUNCTION("""COMPUTED_VALUE"""),"South")</f>
        <v>South</v>
      </c>
      <c r="F1301" s="26">
        <f>IFERROR(__xludf.DUMMYFUNCTION("""COMPUTED_VALUE"""),16.272)</f>
        <v>16.272</v>
      </c>
      <c r="G1301" s="26">
        <f>IFERROR(__xludf.DUMMYFUNCTION("""COMPUTED_VALUE"""),1.0)</f>
        <v>1</v>
      </c>
      <c r="H1301" s="26">
        <f>IFERROR(__xludf.DUMMYFUNCTION("""COMPUTED_VALUE"""),-3.8646)</f>
        <v>-3.8646</v>
      </c>
    </row>
    <row r="1302">
      <c r="A1302" s="26" t="str">
        <f>IFERROR(__xludf.DUMMYFUNCTION("""COMPUTED_VALUE"""),"CA-2014-101770")</f>
        <v>CA-2014-101770</v>
      </c>
      <c r="B1302" s="27">
        <f>IFERROR(__xludf.DUMMYFUNCTION("""COMPUTED_VALUE"""),41729.0)</f>
        <v>41729</v>
      </c>
      <c r="C1302" s="26" t="str">
        <f>IFERROR(__xludf.DUMMYFUNCTION("""COMPUTED_VALUE"""),"Corporate")</f>
        <v>Corporate</v>
      </c>
      <c r="D1302" s="26" t="str">
        <f>IFERROR(__xludf.DUMMYFUNCTION("""COMPUTED_VALUE"""),"Florida")</f>
        <v>Florida</v>
      </c>
      <c r="E1302" s="26" t="str">
        <f>IFERROR(__xludf.DUMMYFUNCTION("""COMPUTED_VALUE"""),"South")</f>
        <v>South</v>
      </c>
      <c r="F1302" s="26">
        <f>IFERROR(__xludf.DUMMYFUNCTION("""COMPUTED_VALUE"""),1.869)</f>
        <v>1.869</v>
      </c>
      <c r="G1302" s="26">
        <f>IFERROR(__xludf.DUMMYFUNCTION("""COMPUTED_VALUE"""),1.0)</f>
        <v>1</v>
      </c>
      <c r="H1302" s="26">
        <f>IFERROR(__xludf.DUMMYFUNCTION("""COMPUTED_VALUE"""),-1.3083)</f>
        <v>-1.3083</v>
      </c>
    </row>
    <row r="1303">
      <c r="A1303" s="26" t="str">
        <f>IFERROR(__xludf.DUMMYFUNCTION("""COMPUTED_VALUE"""),"CA-2014-107573")</f>
        <v>CA-2014-107573</v>
      </c>
      <c r="B1303" s="29">
        <f>IFERROR(__xludf.DUMMYFUNCTION("""COMPUTED_VALUE"""),41985.0)</f>
        <v>41985</v>
      </c>
      <c r="C1303" s="26" t="str">
        <f>IFERROR(__xludf.DUMMYFUNCTION("""COMPUTED_VALUE"""),"Consumer")</f>
        <v>Consumer</v>
      </c>
      <c r="D1303" s="26" t="str">
        <f>IFERROR(__xludf.DUMMYFUNCTION("""COMPUTED_VALUE"""),"Florida")</f>
        <v>Florida</v>
      </c>
      <c r="E1303" s="26" t="str">
        <f>IFERROR(__xludf.DUMMYFUNCTION("""COMPUTED_VALUE"""),"South")</f>
        <v>South</v>
      </c>
      <c r="F1303" s="26">
        <f>IFERROR(__xludf.DUMMYFUNCTION("""COMPUTED_VALUE"""),23.472)</f>
        <v>23.472</v>
      </c>
      <c r="G1303" s="26">
        <f>IFERROR(__xludf.DUMMYFUNCTION("""COMPUTED_VALUE"""),3.0)</f>
        <v>3</v>
      </c>
      <c r="H1303" s="26">
        <f>IFERROR(__xludf.DUMMYFUNCTION("""COMPUTED_VALUE"""),7.6284)</f>
        <v>7.6284</v>
      </c>
    </row>
    <row r="1304">
      <c r="A1304" s="26" t="str">
        <f>IFERROR(__xludf.DUMMYFUNCTION("""COMPUTED_VALUE"""),"CA-2014-127614")</f>
        <v>CA-2014-127614</v>
      </c>
      <c r="B1304" s="27">
        <f>IFERROR(__xludf.DUMMYFUNCTION("""COMPUTED_VALUE"""),41681.0)</f>
        <v>41681</v>
      </c>
      <c r="C1304" s="26" t="str">
        <f>IFERROR(__xludf.DUMMYFUNCTION("""COMPUTED_VALUE"""),"Consumer")</f>
        <v>Consumer</v>
      </c>
      <c r="D1304" s="26" t="str">
        <f>IFERROR(__xludf.DUMMYFUNCTION("""COMPUTED_VALUE"""),"Virginia")</f>
        <v>Virginia</v>
      </c>
      <c r="E1304" s="26" t="str">
        <f>IFERROR(__xludf.DUMMYFUNCTION("""COMPUTED_VALUE"""),"South")</f>
        <v>South</v>
      </c>
      <c r="F1304" s="26">
        <f>IFERROR(__xludf.DUMMYFUNCTION("""COMPUTED_VALUE"""),234.45)</f>
        <v>234.45</v>
      </c>
      <c r="G1304" s="26">
        <f>IFERROR(__xludf.DUMMYFUNCTION("""COMPUTED_VALUE"""),3.0)</f>
        <v>3</v>
      </c>
      <c r="H1304" s="26">
        <f>IFERROR(__xludf.DUMMYFUNCTION("""COMPUTED_VALUE"""),103.158)</f>
        <v>103.158</v>
      </c>
    </row>
    <row r="1305">
      <c r="A1305" s="26" t="str">
        <f>IFERROR(__xludf.DUMMYFUNCTION("""COMPUTED_VALUE"""),"CA-2014-164315")</f>
        <v>CA-2014-164315</v>
      </c>
      <c r="B1305" s="27">
        <f>IFERROR(__xludf.DUMMYFUNCTION("""COMPUTED_VALUE"""),41731.0)</f>
        <v>41731</v>
      </c>
      <c r="C1305" s="26" t="str">
        <f>IFERROR(__xludf.DUMMYFUNCTION("""COMPUTED_VALUE"""),"Consumer")</f>
        <v>Consumer</v>
      </c>
      <c r="D1305" s="26" t="str">
        <f>IFERROR(__xludf.DUMMYFUNCTION("""COMPUTED_VALUE"""),"Georgia")</f>
        <v>Georgia</v>
      </c>
      <c r="E1305" s="26" t="str">
        <f>IFERROR(__xludf.DUMMYFUNCTION("""COMPUTED_VALUE"""),"South")</f>
        <v>South</v>
      </c>
      <c r="F1305" s="26">
        <f>IFERROR(__xludf.DUMMYFUNCTION("""COMPUTED_VALUE"""),15.84)</f>
        <v>15.84</v>
      </c>
      <c r="G1305" s="26">
        <f>IFERROR(__xludf.DUMMYFUNCTION("""COMPUTED_VALUE"""),3.0)</f>
        <v>3</v>
      </c>
      <c r="H1305" s="26">
        <f>IFERROR(__xludf.DUMMYFUNCTION("""COMPUTED_VALUE"""),7.128)</f>
        <v>7.128</v>
      </c>
    </row>
    <row r="1306">
      <c r="A1306" s="26" t="str">
        <f>IFERROR(__xludf.DUMMYFUNCTION("""COMPUTED_VALUE"""),"CA-2014-131541")</f>
        <v>CA-2014-131541</v>
      </c>
      <c r="B1306" s="27">
        <f>IFERROR(__xludf.DUMMYFUNCTION("""COMPUTED_VALUE"""),41848.0)</f>
        <v>41848</v>
      </c>
      <c r="C1306" s="26" t="str">
        <f>IFERROR(__xludf.DUMMYFUNCTION("""COMPUTED_VALUE"""),"Consumer")</f>
        <v>Consumer</v>
      </c>
      <c r="D1306" s="26" t="str">
        <f>IFERROR(__xludf.DUMMYFUNCTION("""COMPUTED_VALUE"""),"Florida")</f>
        <v>Florida</v>
      </c>
      <c r="E1306" s="26" t="str">
        <f>IFERROR(__xludf.DUMMYFUNCTION("""COMPUTED_VALUE"""),"South")</f>
        <v>South</v>
      </c>
      <c r="F1306" s="26">
        <f>IFERROR(__xludf.DUMMYFUNCTION("""COMPUTED_VALUE"""),14.32)</f>
        <v>14.32</v>
      </c>
      <c r="G1306" s="26">
        <f>IFERROR(__xludf.DUMMYFUNCTION("""COMPUTED_VALUE"""),5.0)</f>
        <v>5</v>
      </c>
      <c r="H1306" s="26">
        <f>IFERROR(__xludf.DUMMYFUNCTION("""COMPUTED_VALUE"""),5.191)</f>
        <v>5.191</v>
      </c>
    </row>
    <row r="1307">
      <c r="A1307" s="26" t="str">
        <f>IFERROR(__xludf.DUMMYFUNCTION("""COMPUTED_VALUE"""),"US-2014-138835")</f>
        <v>US-2014-138835</v>
      </c>
      <c r="B1307" s="27">
        <f>IFERROR(__xludf.DUMMYFUNCTION("""COMPUTED_VALUE"""),41892.0)</f>
        <v>41892</v>
      </c>
      <c r="C1307" s="26" t="str">
        <f>IFERROR(__xludf.DUMMYFUNCTION("""COMPUTED_VALUE"""),"Home Office")</f>
        <v>Home Office</v>
      </c>
      <c r="D1307" s="26" t="str">
        <f>IFERROR(__xludf.DUMMYFUNCTION("""COMPUTED_VALUE"""),"Virginia")</f>
        <v>Virginia</v>
      </c>
      <c r="E1307" s="26" t="str">
        <f>IFERROR(__xludf.DUMMYFUNCTION("""COMPUTED_VALUE"""),"South")</f>
        <v>South</v>
      </c>
      <c r="F1307" s="26">
        <f>IFERROR(__xludf.DUMMYFUNCTION("""COMPUTED_VALUE"""),9.64)</f>
        <v>9.64</v>
      </c>
      <c r="G1307" s="26">
        <f>IFERROR(__xludf.DUMMYFUNCTION("""COMPUTED_VALUE"""),2.0)</f>
        <v>2</v>
      </c>
      <c r="H1307" s="26">
        <f>IFERROR(__xludf.DUMMYFUNCTION("""COMPUTED_VALUE"""),4.7236)</f>
        <v>4.7236</v>
      </c>
    </row>
    <row r="1308">
      <c r="A1308" s="26" t="str">
        <f>IFERROR(__xludf.DUMMYFUNCTION("""COMPUTED_VALUE"""),"CA-2014-120432")</f>
        <v>CA-2014-120432</v>
      </c>
      <c r="B1308" s="27">
        <f>IFERROR(__xludf.DUMMYFUNCTION("""COMPUTED_VALUE"""),41875.0)</f>
        <v>41875</v>
      </c>
      <c r="C1308" s="26" t="str">
        <f>IFERROR(__xludf.DUMMYFUNCTION("""COMPUTED_VALUE"""),"Corporate")</f>
        <v>Corporate</v>
      </c>
      <c r="D1308" s="26" t="str">
        <f>IFERROR(__xludf.DUMMYFUNCTION("""COMPUTED_VALUE"""),"Kentucky")</f>
        <v>Kentucky</v>
      </c>
      <c r="E1308" s="26" t="str">
        <f>IFERROR(__xludf.DUMMYFUNCTION("""COMPUTED_VALUE"""),"South")</f>
        <v>South</v>
      </c>
      <c r="F1308" s="26">
        <f>IFERROR(__xludf.DUMMYFUNCTION("""COMPUTED_VALUE"""),25.5)</f>
        <v>25.5</v>
      </c>
      <c r="G1308" s="26">
        <f>IFERROR(__xludf.DUMMYFUNCTION("""COMPUTED_VALUE"""),3.0)</f>
        <v>3</v>
      </c>
      <c r="H1308" s="26">
        <f>IFERROR(__xludf.DUMMYFUNCTION("""COMPUTED_VALUE"""),6.63)</f>
        <v>6.63</v>
      </c>
    </row>
    <row r="1309">
      <c r="A1309" s="26" t="str">
        <f>IFERROR(__xludf.DUMMYFUNCTION("""COMPUTED_VALUE"""),"US-2014-118997")</f>
        <v>US-2014-118997</v>
      </c>
      <c r="B1309" s="27">
        <f>IFERROR(__xludf.DUMMYFUNCTION("""COMPUTED_VALUE"""),41737.0)</f>
        <v>41737</v>
      </c>
      <c r="C1309" s="26" t="str">
        <f>IFERROR(__xludf.DUMMYFUNCTION("""COMPUTED_VALUE"""),"Corporate")</f>
        <v>Corporate</v>
      </c>
      <c r="D1309" s="26" t="str">
        <f>IFERROR(__xludf.DUMMYFUNCTION("""COMPUTED_VALUE"""),"Alabama")</f>
        <v>Alabama</v>
      </c>
      <c r="E1309" s="26" t="str">
        <f>IFERROR(__xludf.DUMMYFUNCTION("""COMPUTED_VALUE"""),"South")</f>
        <v>South</v>
      </c>
      <c r="F1309" s="26">
        <f>IFERROR(__xludf.DUMMYFUNCTION("""COMPUTED_VALUE"""),1215.92)</f>
        <v>1215.92</v>
      </c>
      <c r="G1309" s="26">
        <f>IFERROR(__xludf.DUMMYFUNCTION("""COMPUTED_VALUE"""),8.0)</f>
        <v>8</v>
      </c>
      <c r="H1309" s="26">
        <f>IFERROR(__xludf.DUMMYFUNCTION("""COMPUTED_VALUE"""),316.1392)</f>
        <v>316.1392</v>
      </c>
    </row>
    <row r="1310">
      <c r="A1310" s="26" t="str">
        <f>IFERROR(__xludf.DUMMYFUNCTION("""COMPUTED_VALUE"""),"CA-2014-114314")</f>
        <v>CA-2014-114314</v>
      </c>
      <c r="B1310" s="29">
        <f>IFERROR(__xludf.DUMMYFUNCTION("""COMPUTED_VALUE"""),41923.0)</f>
        <v>41923</v>
      </c>
      <c r="C1310" s="26" t="str">
        <f>IFERROR(__xludf.DUMMYFUNCTION("""COMPUTED_VALUE"""),"Corporate")</f>
        <v>Corporate</v>
      </c>
      <c r="D1310" s="26" t="str">
        <f>IFERROR(__xludf.DUMMYFUNCTION("""COMPUTED_VALUE"""),"Arkansas")</f>
        <v>Arkansas</v>
      </c>
      <c r="E1310" s="26" t="str">
        <f>IFERROR(__xludf.DUMMYFUNCTION("""COMPUTED_VALUE"""),"South")</f>
        <v>South</v>
      </c>
      <c r="F1310" s="26">
        <f>IFERROR(__xludf.DUMMYFUNCTION("""COMPUTED_VALUE"""),7.31)</f>
        <v>7.31</v>
      </c>
      <c r="G1310" s="26">
        <f>IFERROR(__xludf.DUMMYFUNCTION("""COMPUTED_VALUE"""),1.0)</f>
        <v>1</v>
      </c>
      <c r="H1310" s="26">
        <f>IFERROR(__xludf.DUMMYFUNCTION("""COMPUTED_VALUE"""),3.4357)</f>
        <v>3.4357</v>
      </c>
    </row>
    <row r="1311">
      <c r="A1311" s="26" t="str">
        <f>IFERROR(__xludf.DUMMYFUNCTION("""COMPUTED_VALUE"""),"CA-2014-103989")</f>
        <v>CA-2014-103989</v>
      </c>
      <c r="B1311" s="27">
        <f>IFERROR(__xludf.DUMMYFUNCTION("""COMPUTED_VALUE"""),41717.0)</f>
        <v>41717</v>
      </c>
      <c r="C1311" s="26" t="str">
        <f>IFERROR(__xludf.DUMMYFUNCTION("""COMPUTED_VALUE"""),"Corporate")</f>
        <v>Corporate</v>
      </c>
      <c r="D1311" s="26" t="str">
        <f>IFERROR(__xludf.DUMMYFUNCTION("""COMPUTED_VALUE"""),"Florida")</f>
        <v>Florida</v>
      </c>
      <c r="E1311" s="26" t="str">
        <f>IFERROR(__xludf.DUMMYFUNCTION("""COMPUTED_VALUE"""),"South")</f>
        <v>South</v>
      </c>
      <c r="F1311" s="26">
        <f>IFERROR(__xludf.DUMMYFUNCTION("""COMPUTED_VALUE"""),323.976)</f>
        <v>323.976</v>
      </c>
      <c r="G1311" s="26">
        <f>IFERROR(__xludf.DUMMYFUNCTION("""COMPUTED_VALUE"""),3.0)</f>
        <v>3</v>
      </c>
      <c r="H1311" s="26">
        <f>IFERROR(__xludf.DUMMYFUNCTION("""COMPUTED_VALUE"""),28.3479)</f>
        <v>28.3479</v>
      </c>
    </row>
    <row r="1312">
      <c r="A1312" s="26" t="str">
        <f>IFERROR(__xludf.DUMMYFUNCTION("""COMPUTED_VALUE"""),"CA-2014-101266")</f>
        <v>CA-2014-101266</v>
      </c>
      <c r="B1312" s="27">
        <f>IFERROR(__xludf.DUMMYFUNCTION("""COMPUTED_VALUE"""),41878.0)</f>
        <v>41878</v>
      </c>
      <c r="C1312" s="26" t="str">
        <f>IFERROR(__xludf.DUMMYFUNCTION("""COMPUTED_VALUE"""),"Consumer")</f>
        <v>Consumer</v>
      </c>
      <c r="D1312" s="26" t="str">
        <f>IFERROR(__xludf.DUMMYFUNCTION("""COMPUTED_VALUE"""),"Virginia")</f>
        <v>Virginia</v>
      </c>
      <c r="E1312" s="26" t="str">
        <f>IFERROR(__xludf.DUMMYFUNCTION("""COMPUTED_VALUE"""),"South")</f>
        <v>South</v>
      </c>
      <c r="F1312" s="26">
        <f>IFERROR(__xludf.DUMMYFUNCTION("""COMPUTED_VALUE"""),13.36)</f>
        <v>13.36</v>
      </c>
      <c r="G1312" s="26">
        <f>IFERROR(__xludf.DUMMYFUNCTION("""COMPUTED_VALUE"""),2.0)</f>
        <v>2</v>
      </c>
      <c r="H1312" s="26">
        <f>IFERROR(__xludf.DUMMYFUNCTION("""COMPUTED_VALUE"""),6.4128)</f>
        <v>6.4128</v>
      </c>
    </row>
    <row r="1313">
      <c r="A1313" s="26" t="str">
        <f>IFERROR(__xludf.DUMMYFUNCTION("""COMPUTED_VALUE"""),"CA-2014-134621")</f>
        <v>CA-2014-134621</v>
      </c>
      <c r="B1313" s="29">
        <f>IFERROR(__xludf.DUMMYFUNCTION("""COMPUTED_VALUE"""),41994.0)</f>
        <v>41994</v>
      </c>
      <c r="C1313" s="26" t="str">
        <f>IFERROR(__xludf.DUMMYFUNCTION("""COMPUTED_VALUE"""),"Home Office")</f>
        <v>Home Office</v>
      </c>
      <c r="D1313" s="26" t="str">
        <f>IFERROR(__xludf.DUMMYFUNCTION("""COMPUTED_VALUE"""),"Tennessee")</f>
        <v>Tennessee</v>
      </c>
      <c r="E1313" s="26" t="str">
        <f>IFERROR(__xludf.DUMMYFUNCTION("""COMPUTED_VALUE"""),"South")</f>
        <v>South</v>
      </c>
      <c r="F1313" s="26">
        <f>IFERROR(__xludf.DUMMYFUNCTION("""COMPUTED_VALUE"""),18.24)</f>
        <v>18.24</v>
      </c>
      <c r="G1313" s="26">
        <f>IFERROR(__xludf.DUMMYFUNCTION("""COMPUTED_VALUE"""),2.0)</f>
        <v>2</v>
      </c>
      <c r="H1313" s="26">
        <f>IFERROR(__xludf.DUMMYFUNCTION("""COMPUTED_VALUE"""),-14.592)</f>
        <v>-14.592</v>
      </c>
    </row>
    <row r="1314">
      <c r="A1314" s="26" t="str">
        <f>IFERROR(__xludf.DUMMYFUNCTION("""COMPUTED_VALUE"""),"CA-2014-165806")</f>
        <v>CA-2014-165806</v>
      </c>
      <c r="B1314" s="27">
        <f>IFERROR(__xludf.DUMMYFUNCTION("""COMPUTED_VALUE"""),41736.0)</f>
        <v>41736</v>
      </c>
      <c r="C1314" s="26" t="str">
        <f>IFERROR(__xludf.DUMMYFUNCTION("""COMPUTED_VALUE"""),"Home Office")</f>
        <v>Home Office</v>
      </c>
      <c r="D1314" s="26" t="str">
        <f>IFERROR(__xludf.DUMMYFUNCTION("""COMPUTED_VALUE"""),"Georgia")</f>
        <v>Georgia</v>
      </c>
      <c r="E1314" s="26" t="str">
        <f>IFERROR(__xludf.DUMMYFUNCTION("""COMPUTED_VALUE"""),"South")</f>
        <v>South</v>
      </c>
      <c r="F1314" s="26">
        <f>IFERROR(__xludf.DUMMYFUNCTION("""COMPUTED_VALUE"""),58.32)</f>
        <v>58.32</v>
      </c>
      <c r="G1314" s="26">
        <f>IFERROR(__xludf.DUMMYFUNCTION("""COMPUTED_VALUE"""),9.0)</f>
        <v>9</v>
      </c>
      <c r="H1314" s="26">
        <f>IFERROR(__xludf.DUMMYFUNCTION("""COMPUTED_VALUE"""),27.9936)</f>
        <v>27.9936</v>
      </c>
    </row>
    <row r="1315">
      <c r="A1315" s="26" t="str">
        <f>IFERROR(__xludf.DUMMYFUNCTION("""COMPUTED_VALUE"""),"CA-2014-146731")</f>
        <v>CA-2014-146731</v>
      </c>
      <c r="B1315" s="27">
        <f>IFERROR(__xludf.DUMMYFUNCTION("""COMPUTED_VALUE"""),41946.0)</f>
        <v>41946</v>
      </c>
      <c r="C1315" s="26" t="str">
        <f>IFERROR(__xludf.DUMMYFUNCTION("""COMPUTED_VALUE"""),"Consumer")</f>
        <v>Consumer</v>
      </c>
      <c r="D1315" s="26" t="str">
        <f>IFERROR(__xludf.DUMMYFUNCTION("""COMPUTED_VALUE"""),"Tennessee")</f>
        <v>Tennessee</v>
      </c>
      <c r="E1315" s="26" t="str">
        <f>IFERROR(__xludf.DUMMYFUNCTION("""COMPUTED_VALUE"""),"South")</f>
        <v>South</v>
      </c>
      <c r="F1315" s="26">
        <f>IFERROR(__xludf.DUMMYFUNCTION("""COMPUTED_VALUE"""),3.488)</f>
        <v>3.488</v>
      </c>
      <c r="G1315" s="26">
        <f>IFERROR(__xludf.DUMMYFUNCTION("""COMPUTED_VALUE"""),2.0)</f>
        <v>2</v>
      </c>
      <c r="H1315" s="26">
        <f>IFERROR(__xludf.DUMMYFUNCTION("""COMPUTED_VALUE"""),1.1772)</f>
        <v>1.1772</v>
      </c>
    </row>
    <row r="1316">
      <c r="A1316" s="26" t="str">
        <f>IFERROR(__xludf.DUMMYFUNCTION("""COMPUTED_VALUE"""),"CA-2014-107811")</f>
        <v>CA-2014-107811</v>
      </c>
      <c r="B1316" s="27">
        <f>IFERROR(__xludf.DUMMYFUNCTION("""COMPUTED_VALUE"""),41758.0)</f>
        <v>41758</v>
      </c>
      <c r="C1316" s="26" t="str">
        <f>IFERROR(__xludf.DUMMYFUNCTION("""COMPUTED_VALUE"""),"Corporate")</f>
        <v>Corporate</v>
      </c>
      <c r="D1316" s="26" t="str">
        <f>IFERROR(__xludf.DUMMYFUNCTION("""COMPUTED_VALUE"""),"Tennessee")</f>
        <v>Tennessee</v>
      </c>
      <c r="E1316" s="26" t="str">
        <f>IFERROR(__xludf.DUMMYFUNCTION("""COMPUTED_VALUE"""),"South")</f>
        <v>South</v>
      </c>
      <c r="F1316" s="26">
        <f>IFERROR(__xludf.DUMMYFUNCTION("""COMPUTED_VALUE"""),561.584)</f>
        <v>561.584</v>
      </c>
      <c r="G1316" s="26">
        <f>IFERROR(__xludf.DUMMYFUNCTION("""COMPUTED_VALUE"""),2.0)</f>
        <v>2</v>
      </c>
      <c r="H1316" s="26">
        <f>IFERROR(__xludf.DUMMYFUNCTION("""COMPUTED_VALUE"""),70.198)</f>
        <v>70.198</v>
      </c>
    </row>
    <row r="1317">
      <c r="A1317" s="26" t="str">
        <f>IFERROR(__xludf.DUMMYFUNCTION("""COMPUTED_VALUE"""),"CA-2014-165764")</f>
        <v>CA-2014-165764</v>
      </c>
      <c r="B1317" s="27">
        <f>IFERROR(__xludf.DUMMYFUNCTION("""COMPUTED_VALUE"""),41946.0)</f>
        <v>41946</v>
      </c>
      <c r="C1317" s="26" t="str">
        <f>IFERROR(__xludf.DUMMYFUNCTION("""COMPUTED_VALUE"""),"Consumer")</f>
        <v>Consumer</v>
      </c>
      <c r="D1317" s="26" t="str">
        <f>IFERROR(__xludf.DUMMYFUNCTION("""COMPUTED_VALUE"""),"North Carolina")</f>
        <v>North Carolina</v>
      </c>
      <c r="E1317" s="26" t="str">
        <f>IFERROR(__xludf.DUMMYFUNCTION("""COMPUTED_VALUE"""),"South")</f>
        <v>South</v>
      </c>
      <c r="F1317" s="26">
        <f>IFERROR(__xludf.DUMMYFUNCTION("""COMPUTED_VALUE"""),25.984)</f>
        <v>25.984</v>
      </c>
      <c r="G1317" s="26">
        <f>IFERROR(__xludf.DUMMYFUNCTION("""COMPUTED_VALUE"""),2.0)</f>
        <v>2</v>
      </c>
      <c r="H1317" s="26">
        <f>IFERROR(__xludf.DUMMYFUNCTION("""COMPUTED_VALUE"""),-1.624)</f>
        <v>-1.624</v>
      </c>
    </row>
    <row r="1318">
      <c r="A1318" s="26" t="str">
        <f>IFERROR(__xludf.DUMMYFUNCTION("""COMPUTED_VALUE"""),"CA-2014-169684")</f>
        <v>CA-2014-169684</v>
      </c>
      <c r="B1318" s="29">
        <f>IFERROR(__xludf.DUMMYFUNCTION("""COMPUTED_VALUE"""),41932.0)</f>
        <v>41932</v>
      </c>
      <c r="C1318" s="26" t="str">
        <f>IFERROR(__xludf.DUMMYFUNCTION("""COMPUTED_VALUE"""),"Corporate")</f>
        <v>Corporate</v>
      </c>
      <c r="D1318" s="26" t="str">
        <f>IFERROR(__xludf.DUMMYFUNCTION("""COMPUTED_VALUE"""),"Tennessee")</f>
        <v>Tennessee</v>
      </c>
      <c r="E1318" s="26" t="str">
        <f>IFERROR(__xludf.DUMMYFUNCTION("""COMPUTED_VALUE"""),"South")</f>
        <v>South</v>
      </c>
      <c r="F1318" s="26">
        <f>IFERROR(__xludf.DUMMYFUNCTION("""COMPUTED_VALUE"""),328.59)</f>
        <v>328.59</v>
      </c>
      <c r="G1318" s="26">
        <f>IFERROR(__xludf.DUMMYFUNCTION("""COMPUTED_VALUE"""),3.0)</f>
        <v>3</v>
      </c>
      <c r="H1318" s="26">
        <f>IFERROR(__xludf.DUMMYFUNCTION("""COMPUTED_VALUE"""),-147.8655)</f>
        <v>-147.8655</v>
      </c>
    </row>
    <row r="1319">
      <c r="A1319" s="26" t="str">
        <f>IFERROR(__xludf.DUMMYFUNCTION("""COMPUTED_VALUE"""),"CA-2014-164749")</f>
        <v>CA-2014-164749</v>
      </c>
      <c r="B1319" s="27">
        <f>IFERROR(__xludf.DUMMYFUNCTION("""COMPUTED_VALUE"""),41721.0)</f>
        <v>41721</v>
      </c>
      <c r="C1319" s="26" t="str">
        <f>IFERROR(__xludf.DUMMYFUNCTION("""COMPUTED_VALUE"""),"Consumer")</f>
        <v>Consumer</v>
      </c>
      <c r="D1319" s="26" t="str">
        <f>IFERROR(__xludf.DUMMYFUNCTION("""COMPUTED_VALUE"""),"Florida")</f>
        <v>Florida</v>
      </c>
      <c r="E1319" s="26" t="str">
        <f>IFERROR(__xludf.DUMMYFUNCTION("""COMPUTED_VALUE"""),"South")</f>
        <v>South</v>
      </c>
      <c r="F1319" s="26">
        <f>IFERROR(__xludf.DUMMYFUNCTION("""COMPUTED_VALUE"""),9.912)</f>
        <v>9.912</v>
      </c>
      <c r="G1319" s="26">
        <f>IFERROR(__xludf.DUMMYFUNCTION("""COMPUTED_VALUE"""),3.0)</f>
        <v>3</v>
      </c>
      <c r="H1319" s="26">
        <f>IFERROR(__xludf.DUMMYFUNCTION("""COMPUTED_VALUE"""),3.2214)</f>
        <v>3.2214</v>
      </c>
    </row>
    <row r="1320">
      <c r="A1320" s="26" t="str">
        <f>IFERROR(__xludf.DUMMYFUNCTION("""COMPUTED_VALUE"""),"CA-2014-169257")</f>
        <v>CA-2014-169257</v>
      </c>
      <c r="B1320" s="27">
        <f>IFERROR(__xludf.DUMMYFUNCTION("""COMPUTED_VALUE"""),41796.0)</f>
        <v>41796</v>
      </c>
      <c r="C1320" s="26" t="str">
        <f>IFERROR(__xludf.DUMMYFUNCTION("""COMPUTED_VALUE"""),"Consumer")</f>
        <v>Consumer</v>
      </c>
      <c r="D1320" s="26" t="str">
        <f>IFERROR(__xludf.DUMMYFUNCTION("""COMPUTED_VALUE"""),"Florida")</f>
        <v>Florida</v>
      </c>
      <c r="E1320" s="26" t="str">
        <f>IFERROR(__xludf.DUMMYFUNCTION("""COMPUTED_VALUE"""),"South")</f>
        <v>South</v>
      </c>
      <c r="F1320" s="26">
        <f>IFERROR(__xludf.DUMMYFUNCTION("""COMPUTED_VALUE"""),1.365)</f>
        <v>1.365</v>
      </c>
      <c r="G1320" s="26">
        <f>IFERROR(__xludf.DUMMYFUNCTION("""COMPUTED_VALUE"""),1.0)</f>
        <v>1</v>
      </c>
      <c r="H1320" s="26">
        <f>IFERROR(__xludf.DUMMYFUNCTION("""COMPUTED_VALUE"""),-0.91)</f>
        <v>-0.91</v>
      </c>
    </row>
    <row r="1321">
      <c r="A1321" s="26" t="str">
        <f>IFERROR(__xludf.DUMMYFUNCTION("""COMPUTED_VALUE"""),"CA-2014-125682")</f>
        <v>CA-2014-125682</v>
      </c>
      <c r="B1321" s="29">
        <f>IFERROR(__xludf.DUMMYFUNCTION("""COMPUTED_VALUE"""),41965.0)</f>
        <v>41965</v>
      </c>
      <c r="C1321" s="26" t="str">
        <f>IFERROR(__xludf.DUMMYFUNCTION("""COMPUTED_VALUE"""),"Corporate")</f>
        <v>Corporate</v>
      </c>
      <c r="D1321" s="26" t="str">
        <f>IFERROR(__xludf.DUMMYFUNCTION("""COMPUTED_VALUE"""),"Georgia")</f>
        <v>Georgia</v>
      </c>
      <c r="E1321" s="26" t="str">
        <f>IFERROR(__xludf.DUMMYFUNCTION("""COMPUTED_VALUE"""),"South")</f>
        <v>South</v>
      </c>
      <c r="F1321" s="26">
        <f>IFERROR(__xludf.DUMMYFUNCTION("""COMPUTED_VALUE"""),9.96)</f>
        <v>9.96</v>
      </c>
      <c r="G1321" s="26">
        <f>IFERROR(__xludf.DUMMYFUNCTION("""COMPUTED_VALUE"""),2.0)</f>
        <v>2</v>
      </c>
      <c r="H1321" s="26">
        <f>IFERROR(__xludf.DUMMYFUNCTION("""COMPUTED_VALUE"""),4.8804)</f>
        <v>4.8804</v>
      </c>
    </row>
    <row r="1322">
      <c r="A1322" s="26" t="str">
        <f>IFERROR(__xludf.DUMMYFUNCTION("""COMPUTED_VALUE"""),"CA-2014-114790")</f>
        <v>CA-2014-114790</v>
      </c>
      <c r="B1322" s="27">
        <f>IFERROR(__xludf.DUMMYFUNCTION("""COMPUTED_VALUE"""),41709.0)</f>
        <v>41709</v>
      </c>
      <c r="C1322" s="26" t="str">
        <f>IFERROR(__xludf.DUMMYFUNCTION("""COMPUTED_VALUE"""),"Corporate")</f>
        <v>Corporate</v>
      </c>
      <c r="D1322" s="26" t="str">
        <f>IFERROR(__xludf.DUMMYFUNCTION("""COMPUTED_VALUE"""),"Kentucky")</f>
        <v>Kentucky</v>
      </c>
      <c r="E1322" s="26" t="str">
        <f>IFERROR(__xludf.DUMMYFUNCTION("""COMPUTED_VALUE"""),"South")</f>
        <v>South</v>
      </c>
      <c r="F1322" s="26">
        <f>IFERROR(__xludf.DUMMYFUNCTION("""COMPUTED_VALUE"""),146.76)</f>
        <v>146.76</v>
      </c>
      <c r="G1322" s="26">
        <f>IFERROR(__xludf.DUMMYFUNCTION("""COMPUTED_VALUE"""),3.0)</f>
        <v>3</v>
      </c>
      <c r="H1322" s="26">
        <f>IFERROR(__xludf.DUMMYFUNCTION("""COMPUTED_VALUE"""),38.1576)</f>
        <v>38.1576</v>
      </c>
    </row>
    <row r="1323">
      <c r="A1323" s="26" t="str">
        <f>IFERROR(__xludf.DUMMYFUNCTION("""COMPUTED_VALUE"""),"CA-2014-124618")</f>
        <v>CA-2014-124618</v>
      </c>
      <c r="B1323" s="27">
        <f>IFERROR(__xludf.DUMMYFUNCTION("""COMPUTED_VALUE"""),41761.0)</f>
        <v>41761</v>
      </c>
      <c r="C1323" s="26" t="str">
        <f>IFERROR(__xludf.DUMMYFUNCTION("""COMPUTED_VALUE"""),"Consumer")</f>
        <v>Consumer</v>
      </c>
      <c r="D1323" s="26" t="str">
        <f>IFERROR(__xludf.DUMMYFUNCTION("""COMPUTED_VALUE"""),"Florida")</f>
        <v>Florida</v>
      </c>
      <c r="E1323" s="26" t="str">
        <f>IFERROR(__xludf.DUMMYFUNCTION("""COMPUTED_VALUE"""),"South")</f>
        <v>South</v>
      </c>
      <c r="F1323" s="26">
        <f>IFERROR(__xludf.DUMMYFUNCTION("""COMPUTED_VALUE"""),479.984)</f>
        <v>479.984</v>
      </c>
      <c r="G1323" s="26">
        <f>IFERROR(__xludf.DUMMYFUNCTION("""COMPUTED_VALUE"""),2.0)</f>
        <v>2</v>
      </c>
      <c r="H1323" s="26">
        <f>IFERROR(__xludf.DUMMYFUNCTION("""COMPUTED_VALUE"""),89.997)</f>
        <v>89.997</v>
      </c>
    </row>
    <row r="1324">
      <c r="A1324" s="26" t="str">
        <f>IFERROR(__xludf.DUMMYFUNCTION("""COMPUTED_VALUE"""),"US-2014-147774")</f>
        <v>US-2014-147774</v>
      </c>
      <c r="B1324" s="27">
        <f>IFERROR(__xludf.DUMMYFUNCTION("""COMPUTED_VALUE"""),41659.0)</f>
        <v>41659</v>
      </c>
      <c r="C1324" s="26" t="str">
        <f>IFERROR(__xludf.DUMMYFUNCTION("""COMPUTED_VALUE"""),"Corporate")</f>
        <v>Corporate</v>
      </c>
      <c r="D1324" s="26" t="str">
        <f>IFERROR(__xludf.DUMMYFUNCTION("""COMPUTED_VALUE"""),"Tennessee")</f>
        <v>Tennessee</v>
      </c>
      <c r="E1324" s="26" t="str">
        <f>IFERROR(__xludf.DUMMYFUNCTION("""COMPUTED_VALUE"""),"South")</f>
        <v>South</v>
      </c>
      <c r="F1324" s="26">
        <f>IFERROR(__xludf.DUMMYFUNCTION("""COMPUTED_VALUE"""),67.194)</f>
        <v>67.194</v>
      </c>
      <c r="G1324" s="26">
        <f>IFERROR(__xludf.DUMMYFUNCTION("""COMPUTED_VALUE"""),1.0)</f>
        <v>1</v>
      </c>
      <c r="H1324" s="26">
        <f>IFERROR(__xludf.DUMMYFUNCTION("""COMPUTED_VALUE"""),-51.5154)</f>
        <v>-51.5154</v>
      </c>
    </row>
    <row r="1325">
      <c r="A1325" s="26" t="str">
        <f>IFERROR(__xludf.DUMMYFUNCTION("""COMPUTED_VALUE"""),"CA-2014-122217")</f>
        <v>CA-2014-122217</v>
      </c>
      <c r="B1325" s="29">
        <f>IFERROR(__xludf.DUMMYFUNCTION("""COMPUTED_VALUE"""),41967.0)</f>
        <v>41967</v>
      </c>
      <c r="C1325" s="26" t="str">
        <f>IFERROR(__xludf.DUMMYFUNCTION("""COMPUTED_VALUE"""),"Home Office")</f>
        <v>Home Office</v>
      </c>
      <c r="D1325" s="26" t="str">
        <f>IFERROR(__xludf.DUMMYFUNCTION("""COMPUTED_VALUE"""),"Virginia")</f>
        <v>Virginia</v>
      </c>
      <c r="E1325" s="26" t="str">
        <f>IFERROR(__xludf.DUMMYFUNCTION("""COMPUTED_VALUE"""),"South")</f>
        <v>South</v>
      </c>
      <c r="F1325" s="26">
        <f>IFERROR(__xludf.DUMMYFUNCTION("""COMPUTED_VALUE"""),111.15)</f>
        <v>111.15</v>
      </c>
      <c r="G1325" s="26">
        <f>IFERROR(__xludf.DUMMYFUNCTION("""COMPUTED_VALUE"""),5.0)</f>
        <v>5</v>
      </c>
      <c r="H1325" s="26">
        <f>IFERROR(__xludf.DUMMYFUNCTION("""COMPUTED_VALUE"""),48.906)</f>
        <v>48.906</v>
      </c>
    </row>
    <row r="1326">
      <c r="A1326" s="26" t="str">
        <f>IFERROR(__xludf.DUMMYFUNCTION("""COMPUTED_VALUE"""),"CA-2014-137911")</f>
        <v>CA-2014-137911</v>
      </c>
      <c r="B1326" s="27">
        <f>IFERROR(__xludf.DUMMYFUNCTION("""COMPUTED_VALUE"""),41921.0)</f>
        <v>41921</v>
      </c>
      <c r="C1326" s="26" t="str">
        <f>IFERROR(__xludf.DUMMYFUNCTION("""COMPUTED_VALUE"""),"Corporate")</f>
        <v>Corporate</v>
      </c>
      <c r="D1326" s="26" t="str">
        <f>IFERROR(__xludf.DUMMYFUNCTION("""COMPUTED_VALUE"""),"North Carolina")</f>
        <v>North Carolina</v>
      </c>
      <c r="E1326" s="26" t="str">
        <f>IFERROR(__xludf.DUMMYFUNCTION("""COMPUTED_VALUE"""),"South")</f>
        <v>South</v>
      </c>
      <c r="F1326" s="26">
        <f>IFERROR(__xludf.DUMMYFUNCTION("""COMPUTED_VALUE"""),88.768)</f>
        <v>88.768</v>
      </c>
      <c r="G1326" s="26">
        <f>IFERROR(__xludf.DUMMYFUNCTION("""COMPUTED_VALUE"""),2.0)</f>
        <v>2</v>
      </c>
      <c r="H1326" s="26">
        <f>IFERROR(__xludf.DUMMYFUNCTION("""COMPUTED_VALUE"""),31.0688)</f>
        <v>31.0688</v>
      </c>
    </row>
    <row r="1327">
      <c r="A1327" s="26" t="str">
        <f>IFERROR(__xludf.DUMMYFUNCTION("""COMPUTED_VALUE"""),"CA-2014-138709")</f>
        <v>CA-2014-138709</v>
      </c>
      <c r="B1327" s="27">
        <f>IFERROR(__xludf.DUMMYFUNCTION("""COMPUTED_VALUE"""),41824.0)</f>
        <v>41824</v>
      </c>
      <c r="C1327" s="26" t="str">
        <f>IFERROR(__xludf.DUMMYFUNCTION("""COMPUTED_VALUE"""),"Consumer")</f>
        <v>Consumer</v>
      </c>
      <c r="D1327" s="26" t="str">
        <f>IFERROR(__xludf.DUMMYFUNCTION("""COMPUTED_VALUE"""),"Virginia")</f>
        <v>Virginia</v>
      </c>
      <c r="E1327" s="26" t="str">
        <f>IFERROR(__xludf.DUMMYFUNCTION("""COMPUTED_VALUE"""),"South")</f>
        <v>South</v>
      </c>
      <c r="F1327" s="26">
        <f>IFERROR(__xludf.DUMMYFUNCTION("""COMPUTED_VALUE"""),21.84)</f>
        <v>21.84</v>
      </c>
      <c r="G1327" s="26">
        <f>IFERROR(__xludf.DUMMYFUNCTION("""COMPUTED_VALUE"""),3.0)</f>
        <v>3</v>
      </c>
      <c r="H1327" s="26">
        <f>IFERROR(__xludf.DUMMYFUNCTION("""COMPUTED_VALUE"""),10.92)</f>
        <v>10.92</v>
      </c>
    </row>
    <row r="1328">
      <c r="A1328" s="26" t="str">
        <f>IFERROR(__xludf.DUMMYFUNCTION("""COMPUTED_VALUE"""),"CA-2014-106054")</f>
        <v>CA-2014-106054</v>
      </c>
      <c r="B1328" s="27">
        <f>IFERROR(__xludf.DUMMYFUNCTION("""COMPUTED_VALUE"""),41645.0)</f>
        <v>41645</v>
      </c>
      <c r="C1328" s="26" t="str">
        <f>IFERROR(__xludf.DUMMYFUNCTION("""COMPUTED_VALUE"""),"Corporate")</f>
        <v>Corporate</v>
      </c>
      <c r="D1328" s="26" t="str">
        <f>IFERROR(__xludf.DUMMYFUNCTION("""COMPUTED_VALUE"""),"Georgia")</f>
        <v>Georgia</v>
      </c>
      <c r="E1328" s="26" t="str">
        <f>IFERROR(__xludf.DUMMYFUNCTION("""COMPUTED_VALUE"""),"South")</f>
        <v>South</v>
      </c>
      <c r="F1328" s="26">
        <f>IFERROR(__xludf.DUMMYFUNCTION("""COMPUTED_VALUE"""),12.78)</f>
        <v>12.78</v>
      </c>
      <c r="G1328" s="26">
        <f>IFERROR(__xludf.DUMMYFUNCTION("""COMPUTED_VALUE"""),3.0)</f>
        <v>3</v>
      </c>
      <c r="H1328" s="26">
        <f>IFERROR(__xludf.DUMMYFUNCTION("""COMPUTED_VALUE"""),5.2398)</f>
        <v>5.2398</v>
      </c>
    </row>
    <row r="1329">
      <c r="A1329" s="26" t="str">
        <f>IFERROR(__xludf.DUMMYFUNCTION("""COMPUTED_VALUE"""),"CA-2014-120670")</f>
        <v>CA-2014-120670</v>
      </c>
      <c r="B1329" s="27">
        <f>IFERROR(__xludf.DUMMYFUNCTION("""COMPUTED_VALUE"""),41945.0)</f>
        <v>41945</v>
      </c>
      <c r="C1329" s="26" t="str">
        <f>IFERROR(__xludf.DUMMYFUNCTION("""COMPUTED_VALUE"""),"Home Office")</f>
        <v>Home Office</v>
      </c>
      <c r="D1329" s="26" t="str">
        <f>IFERROR(__xludf.DUMMYFUNCTION("""COMPUTED_VALUE"""),"Florida")</f>
        <v>Florida</v>
      </c>
      <c r="E1329" s="26" t="str">
        <f>IFERROR(__xludf.DUMMYFUNCTION("""COMPUTED_VALUE"""),"South")</f>
        <v>South</v>
      </c>
      <c r="F1329" s="26">
        <f>IFERROR(__xludf.DUMMYFUNCTION("""COMPUTED_VALUE"""),799.92)</f>
        <v>799.92</v>
      </c>
      <c r="G1329" s="26">
        <f>IFERROR(__xludf.DUMMYFUNCTION("""COMPUTED_VALUE"""),10.0)</f>
        <v>10</v>
      </c>
      <c r="H1329" s="26">
        <f>IFERROR(__xludf.DUMMYFUNCTION("""COMPUTED_VALUE"""),239.976)</f>
        <v>239.976</v>
      </c>
    </row>
    <row r="1330">
      <c r="A1330" s="26" t="str">
        <f>IFERROR(__xludf.DUMMYFUNCTION("""COMPUTED_VALUE"""),"CA-2014-116190")</f>
        <v>CA-2014-116190</v>
      </c>
      <c r="B1330" s="27">
        <f>IFERROR(__xludf.DUMMYFUNCTION("""COMPUTED_VALUE"""),41846.0)</f>
        <v>41846</v>
      </c>
      <c r="C1330" s="26" t="str">
        <f>IFERROR(__xludf.DUMMYFUNCTION("""COMPUTED_VALUE"""),"Consumer")</f>
        <v>Consumer</v>
      </c>
      <c r="D1330" s="26" t="str">
        <f>IFERROR(__xludf.DUMMYFUNCTION("""COMPUTED_VALUE"""),"Georgia")</f>
        <v>Georgia</v>
      </c>
      <c r="E1330" s="26" t="str">
        <f>IFERROR(__xludf.DUMMYFUNCTION("""COMPUTED_VALUE"""),"South")</f>
        <v>South</v>
      </c>
      <c r="F1330" s="26">
        <f>IFERROR(__xludf.DUMMYFUNCTION("""COMPUTED_VALUE"""),67.88)</f>
        <v>67.88</v>
      </c>
      <c r="G1330" s="26">
        <f>IFERROR(__xludf.DUMMYFUNCTION("""COMPUTED_VALUE"""),2.0)</f>
        <v>2</v>
      </c>
      <c r="H1330" s="26">
        <f>IFERROR(__xludf.DUMMYFUNCTION("""COMPUTED_VALUE"""),18.3276)</f>
        <v>18.3276</v>
      </c>
    </row>
    <row r="1331">
      <c r="A1331" s="26" t="str">
        <f>IFERROR(__xludf.DUMMYFUNCTION("""COMPUTED_VALUE"""),"US-2014-164763")</f>
        <v>US-2014-164763</v>
      </c>
      <c r="B1331" s="27">
        <f>IFERROR(__xludf.DUMMYFUNCTION("""COMPUTED_VALUE"""),41715.0)</f>
        <v>41715</v>
      </c>
      <c r="C1331" s="26" t="str">
        <f>IFERROR(__xludf.DUMMYFUNCTION("""COMPUTED_VALUE"""),"Corporate")</f>
        <v>Corporate</v>
      </c>
      <c r="D1331" s="26" t="str">
        <f>IFERROR(__xludf.DUMMYFUNCTION("""COMPUTED_VALUE"""),"Mississippi")</f>
        <v>Mississippi</v>
      </c>
      <c r="E1331" s="26" t="str">
        <f>IFERROR(__xludf.DUMMYFUNCTION("""COMPUTED_VALUE"""),"South")</f>
        <v>South</v>
      </c>
      <c r="F1331" s="26">
        <f>IFERROR(__xludf.DUMMYFUNCTION("""COMPUTED_VALUE"""),11.43)</f>
        <v>11.43</v>
      </c>
      <c r="G1331" s="26">
        <f>IFERROR(__xludf.DUMMYFUNCTION("""COMPUTED_VALUE"""),3.0)</f>
        <v>3</v>
      </c>
      <c r="H1331" s="26">
        <f>IFERROR(__xludf.DUMMYFUNCTION("""COMPUTED_VALUE"""),5.3721)</f>
        <v>5.3721</v>
      </c>
    </row>
    <row r="1332">
      <c r="A1332" s="26" t="str">
        <f>IFERROR(__xludf.DUMMYFUNCTION("""COMPUTED_VALUE"""),"CA-2014-167199")</f>
        <v>CA-2014-167199</v>
      </c>
      <c r="B1332" s="27">
        <f>IFERROR(__xludf.DUMMYFUNCTION("""COMPUTED_VALUE"""),41645.0)</f>
        <v>41645</v>
      </c>
      <c r="C1332" s="26" t="str">
        <f>IFERROR(__xludf.DUMMYFUNCTION("""COMPUTED_VALUE"""),"Home Office")</f>
        <v>Home Office</v>
      </c>
      <c r="D1332" s="26" t="str">
        <f>IFERROR(__xludf.DUMMYFUNCTION("""COMPUTED_VALUE"""),"Kentucky")</f>
        <v>Kentucky</v>
      </c>
      <c r="E1332" s="26" t="str">
        <f>IFERROR(__xludf.DUMMYFUNCTION("""COMPUTED_VALUE"""),"South")</f>
        <v>South</v>
      </c>
      <c r="F1332" s="26">
        <f>IFERROR(__xludf.DUMMYFUNCTION("""COMPUTED_VALUE"""),2573.82)</f>
        <v>2573.82</v>
      </c>
      <c r="G1332" s="26">
        <f>IFERROR(__xludf.DUMMYFUNCTION("""COMPUTED_VALUE"""),9.0)</f>
        <v>9</v>
      </c>
      <c r="H1332" s="26">
        <f>IFERROR(__xludf.DUMMYFUNCTION("""COMPUTED_VALUE"""),746.4078)</f>
        <v>746.4078</v>
      </c>
    </row>
    <row r="1333">
      <c r="A1333" s="26" t="str">
        <f>IFERROR(__xludf.DUMMYFUNCTION("""COMPUTED_VALUE"""),"CA-2014-100916")</f>
        <v>CA-2014-100916</v>
      </c>
      <c r="B1333" s="29">
        <f>IFERROR(__xludf.DUMMYFUNCTION("""COMPUTED_VALUE"""),41933.0)</f>
        <v>41933</v>
      </c>
      <c r="C1333" s="26" t="str">
        <f>IFERROR(__xludf.DUMMYFUNCTION("""COMPUTED_VALUE"""),"Corporate")</f>
        <v>Corporate</v>
      </c>
      <c r="D1333" s="26" t="str">
        <f>IFERROR(__xludf.DUMMYFUNCTION("""COMPUTED_VALUE"""),"Virginia")</f>
        <v>Virginia</v>
      </c>
      <c r="E1333" s="26" t="str">
        <f>IFERROR(__xludf.DUMMYFUNCTION("""COMPUTED_VALUE"""),"South")</f>
        <v>South</v>
      </c>
      <c r="F1333" s="26">
        <f>IFERROR(__xludf.DUMMYFUNCTION("""COMPUTED_VALUE"""),194.7)</f>
        <v>194.7</v>
      </c>
      <c r="G1333" s="26">
        <f>IFERROR(__xludf.DUMMYFUNCTION("""COMPUTED_VALUE"""),5.0)</f>
        <v>5</v>
      </c>
      <c r="H1333" s="26">
        <f>IFERROR(__xludf.DUMMYFUNCTION("""COMPUTED_VALUE"""),9.735)</f>
        <v>9.735</v>
      </c>
    </row>
    <row r="1334">
      <c r="A1334" s="26" t="str">
        <f>IFERROR(__xludf.DUMMYFUNCTION("""COMPUTED_VALUE"""),"CA-2014-163223")</f>
        <v>CA-2014-163223</v>
      </c>
      <c r="B1334" s="27">
        <f>IFERROR(__xludf.DUMMYFUNCTION("""COMPUTED_VALUE"""),41719.0)</f>
        <v>41719</v>
      </c>
      <c r="C1334" s="26" t="str">
        <f>IFERROR(__xludf.DUMMYFUNCTION("""COMPUTED_VALUE"""),"Corporate")</f>
        <v>Corporate</v>
      </c>
      <c r="D1334" s="26" t="str">
        <f>IFERROR(__xludf.DUMMYFUNCTION("""COMPUTED_VALUE"""),"Virginia")</f>
        <v>Virginia</v>
      </c>
      <c r="E1334" s="26" t="str">
        <f>IFERROR(__xludf.DUMMYFUNCTION("""COMPUTED_VALUE"""),"South")</f>
        <v>South</v>
      </c>
      <c r="F1334" s="26">
        <f>IFERROR(__xludf.DUMMYFUNCTION("""COMPUTED_VALUE"""),3499.93)</f>
        <v>3499.93</v>
      </c>
      <c r="G1334" s="26">
        <f>IFERROR(__xludf.DUMMYFUNCTION("""COMPUTED_VALUE"""),7.0)</f>
        <v>7</v>
      </c>
      <c r="H1334" s="26">
        <f>IFERROR(__xludf.DUMMYFUNCTION("""COMPUTED_VALUE"""),909.9818)</f>
        <v>909.9818</v>
      </c>
    </row>
    <row r="1335">
      <c r="A1335" s="26" t="str">
        <f>IFERROR(__xludf.DUMMYFUNCTION("""COMPUTED_VALUE"""),"CA-2014-148425")</f>
        <v>CA-2014-148425</v>
      </c>
      <c r="B1335" s="29">
        <f>IFERROR(__xludf.DUMMYFUNCTION("""COMPUTED_VALUE"""),41973.0)</f>
        <v>41973</v>
      </c>
      <c r="C1335" s="26" t="str">
        <f>IFERROR(__xludf.DUMMYFUNCTION("""COMPUTED_VALUE"""),"Corporate")</f>
        <v>Corporate</v>
      </c>
      <c r="D1335" s="26" t="str">
        <f>IFERROR(__xludf.DUMMYFUNCTION("""COMPUTED_VALUE"""),"Florida")</f>
        <v>Florida</v>
      </c>
      <c r="E1335" s="26" t="str">
        <f>IFERROR(__xludf.DUMMYFUNCTION("""COMPUTED_VALUE"""),"South")</f>
        <v>South</v>
      </c>
      <c r="F1335" s="26">
        <f>IFERROR(__xludf.DUMMYFUNCTION("""COMPUTED_VALUE"""),6.642)</f>
        <v>6.642</v>
      </c>
      <c r="G1335" s="26">
        <f>IFERROR(__xludf.DUMMYFUNCTION("""COMPUTED_VALUE"""),9.0)</f>
        <v>9</v>
      </c>
      <c r="H1335" s="26">
        <f>IFERROR(__xludf.DUMMYFUNCTION("""COMPUTED_VALUE"""),-4.428)</f>
        <v>-4.428</v>
      </c>
    </row>
    <row r="1336">
      <c r="A1336" s="26" t="str">
        <f>IFERROR(__xludf.DUMMYFUNCTION("""COMPUTED_VALUE"""),"US-2014-115196")</f>
        <v>US-2014-115196</v>
      </c>
      <c r="B1336" s="27">
        <f>IFERROR(__xludf.DUMMYFUNCTION("""COMPUTED_VALUE"""),41891.0)</f>
        <v>41891</v>
      </c>
      <c r="C1336" s="26" t="str">
        <f>IFERROR(__xludf.DUMMYFUNCTION("""COMPUTED_VALUE"""),"Consumer")</f>
        <v>Consumer</v>
      </c>
      <c r="D1336" s="26" t="str">
        <f>IFERROR(__xludf.DUMMYFUNCTION("""COMPUTED_VALUE"""),"North Carolina")</f>
        <v>North Carolina</v>
      </c>
      <c r="E1336" s="26" t="str">
        <f>IFERROR(__xludf.DUMMYFUNCTION("""COMPUTED_VALUE"""),"South")</f>
        <v>South</v>
      </c>
      <c r="F1336" s="26">
        <f>IFERROR(__xludf.DUMMYFUNCTION("""COMPUTED_VALUE"""),1299.99)</f>
        <v>1299.99</v>
      </c>
      <c r="G1336" s="26">
        <f>IFERROR(__xludf.DUMMYFUNCTION("""COMPUTED_VALUE"""),2.0)</f>
        <v>2</v>
      </c>
      <c r="H1336" s="26">
        <f>IFERROR(__xludf.DUMMYFUNCTION("""COMPUTED_VALUE"""),-571.9956)</f>
        <v>-571.9956</v>
      </c>
    </row>
    <row r="1337">
      <c r="A1337" s="26" t="str">
        <f>IFERROR(__xludf.DUMMYFUNCTION("""COMPUTED_VALUE"""),"CA-2014-151967")</f>
        <v>CA-2014-151967</v>
      </c>
      <c r="B1337" s="29">
        <f>IFERROR(__xludf.DUMMYFUNCTION("""COMPUTED_VALUE"""),41934.0)</f>
        <v>41934</v>
      </c>
      <c r="C1337" s="26" t="str">
        <f>IFERROR(__xludf.DUMMYFUNCTION("""COMPUTED_VALUE"""),"Corporate")</f>
        <v>Corporate</v>
      </c>
      <c r="D1337" s="26" t="str">
        <f>IFERROR(__xludf.DUMMYFUNCTION("""COMPUTED_VALUE"""),"Louisiana")</f>
        <v>Louisiana</v>
      </c>
      <c r="E1337" s="26" t="str">
        <f>IFERROR(__xludf.DUMMYFUNCTION("""COMPUTED_VALUE"""),"South")</f>
        <v>South</v>
      </c>
      <c r="F1337" s="26">
        <f>IFERROR(__xludf.DUMMYFUNCTION("""COMPUTED_VALUE"""),129.92)</f>
        <v>129.92</v>
      </c>
      <c r="G1337" s="26">
        <f>IFERROR(__xludf.DUMMYFUNCTION("""COMPUTED_VALUE"""),4.0)</f>
        <v>4</v>
      </c>
      <c r="H1337" s="26">
        <f>IFERROR(__xludf.DUMMYFUNCTION("""COMPUTED_VALUE"""),10.3936)</f>
        <v>10.3936</v>
      </c>
    </row>
    <row r="1338">
      <c r="A1338" s="26" t="str">
        <f>IFERROR(__xludf.DUMMYFUNCTION("""COMPUTED_VALUE"""),"CA-2014-142951")</f>
        <v>CA-2014-142951</v>
      </c>
      <c r="B1338" s="27">
        <f>IFERROR(__xludf.DUMMYFUNCTION("""COMPUTED_VALUE"""),41920.0)</f>
        <v>41920</v>
      </c>
      <c r="C1338" s="26" t="str">
        <f>IFERROR(__xludf.DUMMYFUNCTION("""COMPUTED_VALUE"""),"Consumer")</f>
        <v>Consumer</v>
      </c>
      <c r="D1338" s="26" t="str">
        <f>IFERROR(__xludf.DUMMYFUNCTION("""COMPUTED_VALUE"""),"North Carolina")</f>
        <v>North Carolina</v>
      </c>
      <c r="E1338" s="26" t="str">
        <f>IFERROR(__xludf.DUMMYFUNCTION("""COMPUTED_VALUE"""),"South")</f>
        <v>South</v>
      </c>
      <c r="F1338" s="26">
        <f>IFERROR(__xludf.DUMMYFUNCTION("""COMPUTED_VALUE"""),23.472)</f>
        <v>23.472</v>
      </c>
      <c r="G1338" s="26">
        <f>IFERROR(__xludf.DUMMYFUNCTION("""COMPUTED_VALUE"""),3.0)</f>
        <v>3</v>
      </c>
      <c r="H1338" s="26">
        <f>IFERROR(__xludf.DUMMYFUNCTION("""COMPUTED_VALUE"""),4.9878)</f>
        <v>4.9878</v>
      </c>
    </row>
    <row r="1339">
      <c r="A1339" s="26" t="str">
        <f>IFERROR(__xludf.DUMMYFUNCTION("""COMPUTED_VALUE"""),"CA-2014-155390")</f>
        <v>CA-2014-155390</v>
      </c>
      <c r="B1339" s="27">
        <f>IFERROR(__xludf.DUMMYFUNCTION("""COMPUTED_VALUE"""),41979.0)</f>
        <v>41979</v>
      </c>
      <c r="C1339" s="26" t="str">
        <f>IFERROR(__xludf.DUMMYFUNCTION("""COMPUTED_VALUE"""),"Consumer")</f>
        <v>Consumer</v>
      </c>
      <c r="D1339" s="26" t="str">
        <f>IFERROR(__xludf.DUMMYFUNCTION("""COMPUTED_VALUE"""),"Tennessee")</f>
        <v>Tennessee</v>
      </c>
      <c r="E1339" s="26" t="str">
        <f>IFERROR(__xludf.DUMMYFUNCTION("""COMPUTED_VALUE"""),"South")</f>
        <v>South</v>
      </c>
      <c r="F1339" s="26">
        <f>IFERROR(__xludf.DUMMYFUNCTION("""COMPUTED_VALUE"""),42.208)</f>
        <v>42.208</v>
      </c>
      <c r="G1339" s="26">
        <f>IFERROR(__xludf.DUMMYFUNCTION("""COMPUTED_VALUE"""),2.0)</f>
        <v>2</v>
      </c>
      <c r="H1339" s="26">
        <f>IFERROR(__xludf.DUMMYFUNCTION("""COMPUTED_VALUE"""),13.7176)</f>
        <v>13.7176</v>
      </c>
    </row>
    <row r="1340">
      <c r="A1340" s="26" t="str">
        <f>IFERROR(__xludf.DUMMYFUNCTION("""COMPUTED_VALUE"""),"CA-2014-158470")</f>
        <v>CA-2014-158470</v>
      </c>
      <c r="B1340" s="27">
        <f>IFERROR(__xludf.DUMMYFUNCTION("""COMPUTED_VALUE"""),41748.0)</f>
        <v>41748</v>
      </c>
      <c r="C1340" s="26" t="str">
        <f>IFERROR(__xludf.DUMMYFUNCTION("""COMPUTED_VALUE"""),"Consumer")</f>
        <v>Consumer</v>
      </c>
      <c r="D1340" s="26" t="str">
        <f>IFERROR(__xludf.DUMMYFUNCTION("""COMPUTED_VALUE"""),"Virginia")</f>
        <v>Virginia</v>
      </c>
      <c r="E1340" s="26" t="str">
        <f>IFERROR(__xludf.DUMMYFUNCTION("""COMPUTED_VALUE"""),"South")</f>
        <v>South</v>
      </c>
      <c r="F1340" s="26">
        <f>IFERROR(__xludf.DUMMYFUNCTION("""COMPUTED_VALUE"""),58.05)</f>
        <v>58.05</v>
      </c>
      <c r="G1340" s="26">
        <f>IFERROR(__xludf.DUMMYFUNCTION("""COMPUTED_VALUE"""),3.0)</f>
        <v>3</v>
      </c>
      <c r="H1340" s="26">
        <f>IFERROR(__xludf.DUMMYFUNCTION("""COMPUTED_VALUE"""),26.703)</f>
        <v>26.703</v>
      </c>
    </row>
    <row r="1341">
      <c r="A1341" s="26" t="str">
        <f>IFERROR(__xludf.DUMMYFUNCTION("""COMPUTED_VALUE"""),"CA-2014-166051")</f>
        <v>CA-2014-166051</v>
      </c>
      <c r="B1341" s="27">
        <f>IFERROR(__xludf.DUMMYFUNCTION("""COMPUTED_VALUE"""),41790.0)</f>
        <v>41790</v>
      </c>
      <c r="C1341" s="26" t="str">
        <f>IFERROR(__xludf.DUMMYFUNCTION("""COMPUTED_VALUE"""),"Consumer")</f>
        <v>Consumer</v>
      </c>
      <c r="D1341" s="26" t="str">
        <f>IFERROR(__xludf.DUMMYFUNCTION("""COMPUTED_VALUE"""),"Mississippi")</f>
        <v>Mississippi</v>
      </c>
      <c r="E1341" s="26" t="str">
        <f>IFERROR(__xludf.DUMMYFUNCTION("""COMPUTED_VALUE"""),"South")</f>
        <v>South</v>
      </c>
      <c r="F1341" s="26">
        <f>IFERROR(__xludf.DUMMYFUNCTION("""COMPUTED_VALUE"""),659.97)</f>
        <v>659.97</v>
      </c>
      <c r="G1341" s="26">
        <f>IFERROR(__xludf.DUMMYFUNCTION("""COMPUTED_VALUE"""),3.0)</f>
        <v>3</v>
      </c>
      <c r="H1341" s="26">
        <f>IFERROR(__xludf.DUMMYFUNCTION("""COMPUTED_VALUE"""),197.991)</f>
        <v>197.991</v>
      </c>
    </row>
    <row r="1342">
      <c r="A1342" s="26" t="str">
        <f>IFERROR(__xludf.DUMMYFUNCTION("""COMPUTED_VALUE"""),"US-2014-143581")</f>
        <v>US-2014-143581</v>
      </c>
      <c r="B1342" s="27">
        <f>IFERROR(__xludf.DUMMYFUNCTION("""COMPUTED_VALUE"""),41870.0)</f>
        <v>41870</v>
      </c>
      <c r="C1342" s="26" t="str">
        <f>IFERROR(__xludf.DUMMYFUNCTION("""COMPUTED_VALUE"""),"Corporate")</f>
        <v>Corporate</v>
      </c>
      <c r="D1342" s="26" t="str">
        <f>IFERROR(__xludf.DUMMYFUNCTION("""COMPUTED_VALUE"""),"Georgia")</f>
        <v>Georgia</v>
      </c>
      <c r="E1342" s="26" t="str">
        <f>IFERROR(__xludf.DUMMYFUNCTION("""COMPUTED_VALUE"""),"South")</f>
        <v>South</v>
      </c>
      <c r="F1342" s="26">
        <f>IFERROR(__xludf.DUMMYFUNCTION("""COMPUTED_VALUE"""),344.91)</f>
        <v>344.91</v>
      </c>
      <c r="G1342" s="26">
        <f>IFERROR(__xludf.DUMMYFUNCTION("""COMPUTED_VALUE"""),3.0)</f>
        <v>3</v>
      </c>
      <c r="H1342" s="26">
        <f>IFERROR(__xludf.DUMMYFUNCTION("""COMPUTED_VALUE"""),10.3473)</f>
        <v>10.3473</v>
      </c>
    </row>
    <row r="1343">
      <c r="A1343" s="26" t="str">
        <f>IFERROR(__xludf.DUMMYFUNCTION("""COMPUTED_VALUE"""),"CA-2014-156244")</f>
        <v>CA-2014-156244</v>
      </c>
      <c r="B1343" s="27">
        <f>IFERROR(__xludf.DUMMYFUNCTION("""COMPUTED_VALUE"""),41863.0)</f>
        <v>41863</v>
      </c>
      <c r="C1343" s="26" t="str">
        <f>IFERROR(__xludf.DUMMYFUNCTION("""COMPUTED_VALUE"""),"Home Office")</f>
        <v>Home Office</v>
      </c>
      <c r="D1343" s="26" t="str">
        <f>IFERROR(__xludf.DUMMYFUNCTION("""COMPUTED_VALUE"""),"Florida")</f>
        <v>Florida</v>
      </c>
      <c r="E1343" s="26" t="str">
        <f>IFERROR(__xludf.DUMMYFUNCTION("""COMPUTED_VALUE"""),"South")</f>
        <v>South</v>
      </c>
      <c r="F1343" s="26">
        <f>IFERROR(__xludf.DUMMYFUNCTION("""COMPUTED_VALUE"""),31.104)</f>
        <v>31.104</v>
      </c>
      <c r="G1343" s="26">
        <f>IFERROR(__xludf.DUMMYFUNCTION("""COMPUTED_VALUE"""),6.0)</f>
        <v>6</v>
      </c>
      <c r="H1343" s="26">
        <f>IFERROR(__xludf.DUMMYFUNCTION("""COMPUTED_VALUE"""),10.8864)</f>
        <v>10.8864</v>
      </c>
    </row>
    <row r="1344">
      <c r="A1344" s="26" t="str">
        <f>IFERROR(__xludf.DUMMYFUNCTION("""COMPUTED_VALUE"""),"CA-2014-153087")</f>
        <v>CA-2014-153087</v>
      </c>
      <c r="B1344" s="29">
        <f>IFERROR(__xludf.DUMMYFUNCTION("""COMPUTED_VALUE"""),42000.0)</f>
        <v>42000</v>
      </c>
      <c r="C1344" s="26" t="str">
        <f>IFERROR(__xludf.DUMMYFUNCTION("""COMPUTED_VALUE"""),"Corporate")</f>
        <v>Corporate</v>
      </c>
      <c r="D1344" s="26" t="str">
        <f>IFERROR(__xludf.DUMMYFUNCTION("""COMPUTED_VALUE"""),"Alabama")</f>
        <v>Alabama</v>
      </c>
      <c r="E1344" s="26" t="str">
        <f>IFERROR(__xludf.DUMMYFUNCTION("""COMPUTED_VALUE"""),"South")</f>
        <v>South</v>
      </c>
      <c r="F1344" s="26">
        <f>IFERROR(__xludf.DUMMYFUNCTION("""COMPUTED_VALUE"""),23.92)</f>
        <v>23.92</v>
      </c>
      <c r="G1344" s="26">
        <f>IFERROR(__xludf.DUMMYFUNCTION("""COMPUTED_VALUE"""),4.0)</f>
        <v>4</v>
      </c>
      <c r="H1344" s="26">
        <f>IFERROR(__xludf.DUMMYFUNCTION("""COMPUTED_VALUE"""),11.7208)</f>
        <v>11.7208</v>
      </c>
    </row>
    <row r="1345">
      <c r="A1345" s="26" t="str">
        <f>IFERROR(__xludf.DUMMYFUNCTION("""COMPUTED_VALUE"""),"CA-2014-161634")</f>
        <v>CA-2014-161634</v>
      </c>
      <c r="B1345" s="29">
        <f>IFERROR(__xludf.DUMMYFUNCTION("""COMPUTED_VALUE"""),41957.0)</f>
        <v>41957</v>
      </c>
      <c r="C1345" s="26" t="str">
        <f>IFERROR(__xludf.DUMMYFUNCTION("""COMPUTED_VALUE"""),"Consumer")</f>
        <v>Consumer</v>
      </c>
      <c r="D1345" s="26" t="str">
        <f>IFERROR(__xludf.DUMMYFUNCTION("""COMPUTED_VALUE"""),"Virginia")</f>
        <v>Virginia</v>
      </c>
      <c r="E1345" s="26" t="str">
        <f>IFERROR(__xludf.DUMMYFUNCTION("""COMPUTED_VALUE"""),"South")</f>
        <v>South</v>
      </c>
      <c r="F1345" s="26">
        <f>IFERROR(__xludf.DUMMYFUNCTION("""COMPUTED_VALUE"""),32.4)</f>
        <v>32.4</v>
      </c>
      <c r="G1345" s="26">
        <f>IFERROR(__xludf.DUMMYFUNCTION("""COMPUTED_VALUE"""),5.0)</f>
        <v>5</v>
      </c>
      <c r="H1345" s="26">
        <f>IFERROR(__xludf.DUMMYFUNCTION("""COMPUTED_VALUE"""),15.552)</f>
        <v>15.552</v>
      </c>
    </row>
    <row r="1346">
      <c r="A1346" s="26" t="str">
        <f>IFERROR(__xludf.DUMMYFUNCTION("""COMPUTED_VALUE"""),"US-2014-155544")</f>
        <v>US-2014-155544</v>
      </c>
      <c r="B1346" s="27">
        <f>IFERROR(__xludf.DUMMYFUNCTION("""COMPUTED_VALUE"""),41719.0)</f>
        <v>41719</v>
      </c>
      <c r="C1346" s="26" t="str">
        <f>IFERROR(__xludf.DUMMYFUNCTION("""COMPUTED_VALUE"""),"Consumer")</f>
        <v>Consumer</v>
      </c>
      <c r="D1346" s="26" t="str">
        <f>IFERROR(__xludf.DUMMYFUNCTION("""COMPUTED_VALUE"""),"Tennessee")</f>
        <v>Tennessee</v>
      </c>
      <c r="E1346" s="26" t="str">
        <f>IFERROR(__xludf.DUMMYFUNCTION("""COMPUTED_VALUE"""),"South")</f>
        <v>South</v>
      </c>
      <c r="F1346" s="26">
        <f>IFERROR(__xludf.DUMMYFUNCTION("""COMPUTED_VALUE"""),59.2)</f>
        <v>59.2</v>
      </c>
      <c r="G1346" s="26">
        <f>IFERROR(__xludf.DUMMYFUNCTION("""COMPUTED_VALUE"""),5.0)</f>
        <v>5</v>
      </c>
      <c r="H1346" s="26">
        <f>IFERROR(__xludf.DUMMYFUNCTION("""COMPUTED_VALUE"""),22.2)</f>
        <v>22.2</v>
      </c>
    </row>
    <row r="1347">
      <c r="A1347" s="26" t="str">
        <f>IFERROR(__xludf.DUMMYFUNCTION("""COMPUTED_VALUE"""),"CA-2014-152254")</f>
        <v>CA-2014-152254</v>
      </c>
      <c r="B1347" s="27">
        <f>IFERROR(__xludf.DUMMYFUNCTION("""COMPUTED_VALUE"""),41820.0)</f>
        <v>41820</v>
      </c>
      <c r="C1347" s="26" t="str">
        <f>IFERROR(__xludf.DUMMYFUNCTION("""COMPUTED_VALUE"""),"Consumer")</f>
        <v>Consumer</v>
      </c>
      <c r="D1347" s="26" t="str">
        <f>IFERROR(__xludf.DUMMYFUNCTION("""COMPUTED_VALUE"""),"North Carolina")</f>
        <v>North Carolina</v>
      </c>
      <c r="E1347" s="26" t="str">
        <f>IFERROR(__xludf.DUMMYFUNCTION("""COMPUTED_VALUE"""),"South")</f>
        <v>South</v>
      </c>
      <c r="F1347" s="26">
        <f>IFERROR(__xludf.DUMMYFUNCTION("""COMPUTED_VALUE"""),310.688)</f>
        <v>310.688</v>
      </c>
      <c r="G1347" s="26">
        <f>IFERROR(__xludf.DUMMYFUNCTION("""COMPUTED_VALUE"""),7.0)</f>
        <v>7</v>
      </c>
      <c r="H1347" s="26">
        <f>IFERROR(__xludf.DUMMYFUNCTION("""COMPUTED_VALUE"""),108.7408)</f>
        <v>108.7408</v>
      </c>
    </row>
    <row r="1348">
      <c r="A1348" s="26" t="str">
        <f>IFERROR(__xludf.DUMMYFUNCTION("""COMPUTED_VALUE"""),"CA-2014-111934")</f>
        <v>CA-2014-111934</v>
      </c>
      <c r="B1348" s="27">
        <f>IFERROR(__xludf.DUMMYFUNCTION("""COMPUTED_VALUE"""),41764.0)</f>
        <v>41764</v>
      </c>
      <c r="C1348" s="26" t="str">
        <f>IFERROR(__xludf.DUMMYFUNCTION("""COMPUTED_VALUE"""),"Corporate")</f>
        <v>Corporate</v>
      </c>
      <c r="D1348" s="26" t="str">
        <f>IFERROR(__xludf.DUMMYFUNCTION("""COMPUTED_VALUE"""),"Virginia")</f>
        <v>Virginia</v>
      </c>
      <c r="E1348" s="26" t="str">
        <f>IFERROR(__xludf.DUMMYFUNCTION("""COMPUTED_VALUE"""),"South")</f>
        <v>South</v>
      </c>
      <c r="F1348" s="26">
        <f>IFERROR(__xludf.DUMMYFUNCTION("""COMPUTED_VALUE"""),11.88)</f>
        <v>11.88</v>
      </c>
      <c r="G1348" s="26">
        <f>IFERROR(__xludf.DUMMYFUNCTION("""COMPUTED_VALUE"""),2.0)</f>
        <v>2</v>
      </c>
      <c r="H1348" s="26">
        <f>IFERROR(__xludf.DUMMYFUNCTION("""COMPUTED_VALUE"""),5.346)</f>
        <v>5.346</v>
      </c>
    </row>
    <row r="1349">
      <c r="A1349" s="26" t="str">
        <f>IFERROR(__xludf.DUMMYFUNCTION("""COMPUTED_VALUE"""),"CA-2014-160094")</f>
        <v>CA-2014-160094</v>
      </c>
      <c r="B1349" s="27">
        <f>IFERROR(__xludf.DUMMYFUNCTION("""COMPUTED_VALUE"""),41759.0)</f>
        <v>41759</v>
      </c>
      <c r="C1349" s="26" t="str">
        <f>IFERROR(__xludf.DUMMYFUNCTION("""COMPUTED_VALUE"""),"Consumer")</f>
        <v>Consumer</v>
      </c>
      <c r="D1349" s="26" t="str">
        <f>IFERROR(__xludf.DUMMYFUNCTION("""COMPUTED_VALUE"""),"Kentucky")</f>
        <v>Kentucky</v>
      </c>
      <c r="E1349" s="26" t="str">
        <f>IFERROR(__xludf.DUMMYFUNCTION("""COMPUTED_VALUE"""),"South")</f>
        <v>South</v>
      </c>
      <c r="F1349" s="26">
        <f>IFERROR(__xludf.DUMMYFUNCTION("""COMPUTED_VALUE"""),174.95)</f>
        <v>174.95</v>
      </c>
      <c r="G1349" s="26">
        <f>IFERROR(__xludf.DUMMYFUNCTION("""COMPUTED_VALUE"""),5.0)</f>
        <v>5</v>
      </c>
      <c r="H1349" s="26">
        <f>IFERROR(__xludf.DUMMYFUNCTION("""COMPUTED_VALUE"""),45.487)</f>
        <v>45.487</v>
      </c>
    </row>
    <row r="1350">
      <c r="A1350" s="26" t="str">
        <f>IFERROR(__xludf.DUMMYFUNCTION("""COMPUTED_VALUE"""),"CA-2014-129819")</f>
        <v>CA-2014-129819</v>
      </c>
      <c r="B1350" s="29">
        <f>IFERROR(__xludf.DUMMYFUNCTION("""COMPUTED_VALUE"""),41986.0)</f>
        <v>41986</v>
      </c>
      <c r="C1350" s="26" t="str">
        <f>IFERROR(__xludf.DUMMYFUNCTION("""COMPUTED_VALUE"""),"Corporate")</f>
        <v>Corporate</v>
      </c>
      <c r="D1350" s="26" t="str">
        <f>IFERROR(__xludf.DUMMYFUNCTION("""COMPUTED_VALUE"""),"Kentucky")</f>
        <v>Kentucky</v>
      </c>
      <c r="E1350" s="26" t="str">
        <f>IFERROR(__xludf.DUMMYFUNCTION("""COMPUTED_VALUE"""),"South")</f>
        <v>South</v>
      </c>
      <c r="F1350" s="26">
        <f>IFERROR(__xludf.DUMMYFUNCTION("""COMPUTED_VALUE"""),12.39)</f>
        <v>12.39</v>
      </c>
      <c r="G1350" s="26">
        <f>IFERROR(__xludf.DUMMYFUNCTION("""COMPUTED_VALUE"""),3.0)</f>
        <v>3</v>
      </c>
      <c r="H1350" s="26">
        <f>IFERROR(__xludf.DUMMYFUNCTION("""COMPUTED_VALUE"""),5.8233)</f>
        <v>5.8233</v>
      </c>
    </row>
    <row r="1351">
      <c r="A1351" s="26" t="str">
        <f>IFERROR(__xludf.DUMMYFUNCTION("""COMPUTED_VALUE"""),"CA-2014-133634")</f>
        <v>CA-2014-133634</v>
      </c>
      <c r="B1351" s="27">
        <f>IFERROR(__xludf.DUMMYFUNCTION("""COMPUTED_VALUE"""),41948.0)</f>
        <v>41948</v>
      </c>
      <c r="C1351" s="26" t="str">
        <f>IFERROR(__xludf.DUMMYFUNCTION("""COMPUTED_VALUE"""),"Home Office")</f>
        <v>Home Office</v>
      </c>
      <c r="D1351" s="26" t="str">
        <f>IFERROR(__xludf.DUMMYFUNCTION("""COMPUTED_VALUE"""),"Virginia")</f>
        <v>Virginia</v>
      </c>
      <c r="E1351" s="26" t="str">
        <f>IFERROR(__xludf.DUMMYFUNCTION("""COMPUTED_VALUE"""),"South")</f>
        <v>South</v>
      </c>
      <c r="F1351" s="26">
        <f>IFERROR(__xludf.DUMMYFUNCTION("""COMPUTED_VALUE"""),47.79)</f>
        <v>47.79</v>
      </c>
      <c r="G1351" s="26">
        <f>IFERROR(__xludf.DUMMYFUNCTION("""COMPUTED_VALUE"""),3.0)</f>
        <v>3</v>
      </c>
      <c r="H1351" s="26">
        <f>IFERROR(__xludf.DUMMYFUNCTION("""COMPUTED_VALUE"""),16.2486)</f>
        <v>16.2486</v>
      </c>
    </row>
    <row r="1352">
      <c r="A1352" s="26" t="str">
        <f>IFERROR(__xludf.DUMMYFUNCTION("""COMPUTED_VALUE"""),"CA-2014-160276")</f>
        <v>CA-2014-160276</v>
      </c>
      <c r="B1352" s="27">
        <f>IFERROR(__xludf.DUMMYFUNCTION("""COMPUTED_VALUE"""),41731.0)</f>
        <v>41731</v>
      </c>
      <c r="C1352" s="26" t="str">
        <f>IFERROR(__xludf.DUMMYFUNCTION("""COMPUTED_VALUE"""),"Corporate")</f>
        <v>Corporate</v>
      </c>
      <c r="D1352" s="26" t="str">
        <f>IFERROR(__xludf.DUMMYFUNCTION("""COMPUTED_VALUE"""),"Virginia")</f>
        <v>Virginia</v>
      </c>
      <c r="E1352" s="26" t="str">
        <f>IFERROR(__xludf.DUMMYFUNCTION("""COMPUTED_VALUE"""),"South")</f>
        <v>South</v>
      </c>
      <c r="F1352" s="26">
        <f>IFERROR(__xludf.DUMMYFUNCTION("""COMPUTED_VALUE"""),177.68)</f>
        <v>177.68</v>
      </c>
      <c r="G1352" s="26">
        <f>IFERROR(__xludf.DUMMYFUNCTION("""COMPUTED_VALUE"""),2.0)</f>
        <v>2</v>
      </c>
      <c r="H1352" s="26">
        <f>IFERROR(__xludf.DUMMYFUNCTION("""COMPUTED_VALUE"""),46.1968)</f>
        <v>46.1968</v>
      </c>
    </row>
    <row r="1353">
      <c r="A1353" s="26" t="str">
        <f>IFERROR(__xludf.DUMMYFUNCTION("""COMPUTED_VALUE"""),"CA-2014-130918")</f>
        <v>CA-2014-130918</v>
      </c>
      <c r="B1353" s="27">
        <f>IFERROR(__xludf.DUMMYFUNCTION("""COMPUTED_VALUE"""),41873.0)</f>
        <v>41873</v>
      </c>
      <c r="C1353" s="26" t="str">
        <f>IFERROR(__xludf.DUMMYFUNCTION("""COMPUTED_VALUE"""),"Consumer")</f>
        <v>Consumer</v>
      </c>
      <c r="D1353" s="26" t="str">
        <f>IFERROR(__xludf.DUMMYFUNCTION("""COMPUTED_VALUE"""),"Florida")</f>
        <v>Florida</v>
      </c>
      <c r="E1353" s="26" t="str">
        <f>IFERROR(__xludf.DUMMYFUNCTION("""COMPUTED_VALUE"""),"South")</f>
        <v>South</v>
      </c>
      <c r="F1353" s="26">
        <f>IFERROR(__xludf.DUMMYFUNCTION("""COMPUTED_VALUE"""),7.632)</f>
        <v>7.632</v>
      </c>
      <c r="G1353" s="26">
        <f>IFERROR(__xludf.DUMMYFUNCTION("""COMPUTED_VALUE"""),3.0)</f>
        <v>3</v>
      </c>
      <c r="H1353" s="26">
        <f>IFERROR(__xludf.DUMMYFUNCTION("""COMPUTED_VALUE"""),-1.8126)</f>
        <v>-1.8126</v>
      </c>
    </row>
    <row r="1354">
      <c r="A1354" s="26" t="str">
        <f>IFERROR(__xludf.DUMMYFUNCTION("""COMPUTED_VALUE"""),"CA-2014-156790")</f>
        <v>CA-2014-156790</v>
      </c>
      <c r="B1354" s="27">
        <f>IFERROR(__xludf.DUMMYFUNCTION("""COMPUTED_VALUE"""),41859.0)</f>
        <v>41859</v>
      </c>
      <c r="C1354" s="26" t="str">
        <f>IFERROR(__xludf.DUMMYFUNCTION("""COMPUTED_VALUE"""),"Consumer")</f>
        <v>Consumer</v>
      </c>
      <c r="D1354" s="26" t="str">
        <f>IFERROR(__xludf.DUMMYFUNCTION("""COMPUTED_VALUE"""),"Florida")</f>
        <v>Florida</v>
      </c>
      <c r="E1354" s="26" t="str">
        <f>IFERROR(__xludf.DUMMYFUNCTION("""COMPUTED_VALUE"""),"South")</f>
        <v>South</v>
      </c>
      <c r="F1354" s="26">
        <f>IFERROR(__xludf.DUMMYFUNCTION("""COMPUTED_VALUE"""),155.456)</f>
        <v>155.456</v>
      </c>
      <c r="G1354" s="26">
        <f>IFERROR(__xludf.DUMMYFUNCTION("""COMPUTED_VALUE"""),4.0)</f>
        <v>4</v>
      </c>
      <c r="H1354" s="26">
        <f>IFERROR(__xludf.DUMMYFUNCTION("""COMPUTED_VALUE"""),-7.7728)</f>
        <v>-7.7728</v>
      </c>
    </row>
    <row r="1355">
      <c r="A1355" s="26" t="str">
        <f>IFERROR(__xludf.DUMMYFUNCTION("""COMPUTED_VALUE"""),"CA-2014-166730")</f>
        <v>CA-2014-166730</v>
      </c>
      <c r="B1355" s="29">
        <f>IFERROR(__xludf.DUMMYFUNCTION("""COMPUTED_VALUE"""),42003.0)</f>
        <v>42003</v>
      </c>
      <c r="C1355" s="26" t="str">
        <f>IFERROR(__xludf.DUMMYFUNCTION("""COMPUTED_VALUE"""),"Consumer")</f>
        <v>Consumer</v>
      </c>
      <c r="D1355" s="26" t="str">
        <f>IFERROR(__xludf.DUMMYFUNCTION("""COMPUTED_VALUE"""),"Tennessee")</f>
        <v>Tennessee</v>
      </c>
      <c r="E1355" s="26" t="str">
        <f>IFERROR(__xludf.DUMMYFUNCTION("""COMPUTED_VALUE"""),"South")</f>
        <v>South</v>
      </c>
      <c r="F1355" s="26">
        <f>IFERROR(__xludf.DUMMYFUNCTION("""COMPUTED_VALUE"""),39.128)</f>
        <v>39.128</v>
      </c>
      <c r="G1355" s="26">
        <f>IFERROR(__xludf.DUMMYFUNCTION("""COMPUTED_VALUE"""),1.0)</f>
        <v>1</v>
      </c>
      <c r="H1355" s="26">
        <f>IFERROR(__xludf.DUMMYFUNCTION("""COMPUTED_VALUE"""),-8.8038)</f>
        <v>-8.8038</v>
      </c>
    </row>
    <row r="1356">
      <c r="A1356" s="26" t="str">
        <f>IFERROR(__xludf.DUMMYFUNCTION("""COMPUTED_VALUE"""),"CA-2014-109043")</f>
        <v>CA-2014-109043</v>
      </c>
      <c r="B1356" s="27">
        <f>IFERROR(__xludf.DUMMYFUNCTION("""COMPUTED_VALUE"""),41866.0)</f>
        <v>41866</v>
      </c>
      <c r="C1356" s="26" t="str">
        <f>IFERROR(__xludf.DUMMYFUNCTION("""COMPUTED_VALUE"""),"Consumer")</f>
        <v>Consumer</v>
      </c>
      <c r="D1356" s="26" t="str">
        <f>IFERROR(__xludf.DUMMYFUNCTION("""COMPUTED_VALUE"""),"Florida")</f>
        <v>Florida</v>
      </c>
      <c r="E1356" s="26" t="str">
        <f>IFERROR(__xludf.DUMMYFUNCTION("""COMPUTED_VALUE"""),"South")</f>
        <v>South</v>
      </c>
      <c r="F1356" s="26">
        <f>IFERROR(__xludf.DUMMYFUNCTION("""COMPUTED_VALUE"""),91.36)</f>
        <v>91.36</v>
      </c>
      <c r="G1356" s="26">
        <f>IFERROR(__xludf.DUMMYFUNCTION("""COMPUTED_VALUE"""),5.0)</f>
        <v>5</v>
      </c>
      <c r="H1356" s="26">
        <f>IFERROR(__xludf.DUMMYFUNCTION("""COMPUTED_VALUE"""),29.692)</f>
        <v>29.692</v>
      </c>
    </row>
    <row r="1357">
      <c r="A1357" s="26" t="str">
        <f>IFERROR(__xludf.DUMMYFUNCTION("""COMPUTED_VALUE"""),"CA-2014-103807")</f>
        <v>CA-2014-103807</v>
      </c>
      <c r="B1357" s="27">
        <f>IFERROR(__xludf.DUMMYFUNCTION("""COMPUTED_VALUE"""),41975.0)</f>
        <v>41975</v>
      </c>
      <c r="C1357" s="26" t="str">
        <f>IFERROR(__xludf.DUMMYFUNCTION("""COMPUTED_VALUE"""),"Corporate")</f>
        <v>Corporate</v>
      </c>
      <c r="D1357" s="26" t="str">
        <f>IFERROR(__xludf.DUMMYFUNCTION("""COMPUTED_VALUE"""),"Georgia")</f>
        <v>Georgia</v>
      </c>
      <c r="E1357" s="26" t="str">
        <f>IFERROR(__xludf.DUMMYFUNCTION("""COMPUTED_VALUE"""),"South")</f>
        <v>South</v>
      </c>
      <c r="F1357" s="26">
        <f>IFERROR(__xludf.DUMMYFUNCTION("""COMPUTED_VALUE"""),5.95)</f>
        <v>5.95</v>
      </c>
      <c r="G1357" s="26">
        <f>IFERROR(__xludf.DUMMYFUNCTION("""COMPUTED_VALUE"""),1.0)</f>
        <v>1</v>
      </c>
      <c r="H1357" s="26">
        <f>IFERROR(__xludf.DUMMYFUNCTION("""COMPUTED_VALUE"""),0.833)</f>
        <v>0.833</v>
      </c>
    </row>
    <row r="1358">
      <c r="A1358" s="26" t="str">
        <f>IFERROR(__xludf.DUMMYFUNCTION("""COMPUTED_VALUE"""),"CA-2014-100706")</f>
        <v>CA-2014-100706</v>
      </c>
      <c r="B1358" s="29">
        <f>IFERROR(__xludf.DUMMYFUNCTION("""COMPUTED_VALUE"""),41989.0)</f>
        <v>41989</v>
      </c>
      <c r="C1358" s="26" t="str">
        <f>IFERROR(__xludf.DUMMYFUNCTION("""COMPUTED_VALUE"""),"Consumer")</f>
        <v>Consumer</v>
      </c>
      <c r="D1358" s="26" t="str">
        <f>IFERROR(__xludf.DUMMYFUNCTION("""COMPUTED_VALUE"""),"Virginia")</f>
        <v>Virginia</v>
      </c>
      <c r="E1358" s="26" t="str">
        <f>IFERROR(__xludf.DUMMYFUNCTION("""COMPUTED_VALUE"""),"South")</f>
        <v>South</v>
      </c>
      <c r="F1358" s="26">
        <f>IFERROR(__xludf.DUMMYFUNCTION("""COMPUTED_VALUE"""),99.98)</f>
        <v>99.98</v>
      </c>
      <c r="G1358" s="26">
        <f>IFERROR(__xludf.DUMMYFUNCTION("""COMPUTED_VALUE"""),2.0)</f>
        <v>2</v>
      </c>
      <c r="H1358" s="26">
        <f>IFERROR(__xludf.DUMMYFUNCTION("""COMPUTED_VALUE"""),7.9984)</f>
        <v>7.9984</v>
      </c>
    </row>
    <row r="1359">
      <c r="A1359" s="26" t="str">
        <f>IFERROR(__xludf.DUMMYFUNCTION("""COMPUTED_VALUE"""),"CA-2014-152268")</f>
        <v>CA-2014-152268</v>
      </c>
      <c r="B1359" s="27">
        <f>IFERROR(__xludf.DUMMYFUNCTION("""COMPUTED_VALUE"""),41884.0)</f>
        <v>41884</v>
      </c>
      <c r="C1359" s="26" t="str">
        <f>IFERROR(__xludf.DUMMYFUNCTION("""COMPUTED_VALUE"""),"Consumer")</f>
        <v>Consumer</v>
      </c>
      <c r="D1359" s="26" t="str">
        <f>IFERROR(__xludf.DUMMYFUNCTION("""COMPUTED_VALUE"""),"Arkansas")</f>
        <v>Arkansas</v>
      </c>
      <c r="E1359" s="26" t="str">
        <f>IFERROR(__xludf.DUMMYFUNCTION("""COMPUTED_VALUE"""),"South")</f>
        <v>South</v>
      </c>
      <c r="F1359" s="26">
        <f>IFERROR(__xludf.DUMMYFUNCTION("""COMPUTED_VALUE"""),1793.98)</f>
        <v>1793.98</v>
      </c>
      <c r="G1359" s="26">
        <f>IFERROR(__xludf.DUMMYFUNCTION("""COMPUTED_VALUE"""),2.0)</f>
        <v>2</v>
      </c>
      <c r="H1359" s="26">
        <f>IFERROR(__xludf.DUMMYFUNCTION("""COMPUTED_VALUE"""),843.1706)</f>
        <v>843.1706</v>
      </c>
    </row>
    <row r="1360">
      <c r="A1360" s="26" t="str">
        <f>IFERROR(__xludf.DUMMYFUNCTION("""COMPUTED_VALUE"""),"CA-2014-114335")</f>
        <v>CA-2014-114335</v>
      </c>
      <c r="B1360" s="27">
        <f>IFERROR(__xludf.DUMMYFUNCTION("""COMPUTED_VALUE"""),41910.0)</f>
        <v>41910</v>
      </c>
      <c r="C1360" s="26" t="str">
        <f>IFERROR(__xludf.DUMMYFUNCTION("""COMPUTED_VALUE"""),"Consumer")</f>
        <v>Consumer</v>
      </c>
      <c r="D1360" s="26" t="str">
        <f>IFERROR(__xludf.DUMMYFUNCTION("""COMPUTED_VALUE"""),"Florida")</f>
        <v>Florida</v>
      </c>
      <c r="E1360" s="26" t="str">
        <f>IFERROR(__xludf.DUMMYFUNCTION("""COMPUTED_VALUE"""),"South")</f>
        <v>South</v>
      </c>
      <c r="F1360" s="26">
        <f>IFERROR(__xludf.DUMMYFUNCTION("""COMPUTED_VALUE"""),337.088)</f>
        <v>337.088</v>
      </c>
      <c r="G1360" s="26">
        <f>IFERROR(__xludf.DUMMYFUNCTION("""COMPUTED_VALUE"""),4.0)</f>
        <v>4</v>
      </c>
      <c r="H1360" s="26">
        <f>IFERROR(__xludf.DUMMYFUNCTION("""COMPUTED_VALUE"""),16.8544)</f>
        <v>16.8544</v>
      </c>
    </row>
    <row r="1361">
      <c r="A1361" s="26" t="str">
        <f>IFERROR(__xludf.DUMMYFUNCTION("""COMPUTED_VALUE"""),"CA-2014-136336")</f>
        <v>CA-2014-136336</v>
      </c>
      <c r="B1361" s="27">
        <f>IFERROR(__xludf.DUMMYFUNCTION("""COMPUTED_VALUE"""),41750.0)</f>
        <v>41750</v>
      </c>
      <c r="C1361" s="26" t="str">
        <f>IFERROR(__xludf.DUMMYFUNCTION("""COMPUTED_VALUE"""),"Corporate")</f>
        <v>Corporate</v>
      </c>
      <c r="D1361" s="26" t="str">
        <f>IFERROR(__xludf.DUMMYFUNCTION("""COMPUTED_VALUE"""),"Kentucky")</f>
        <v>Kentucky</v>
      </c>
      <c r="E1361" s="26" t="str">
        <f>IFERROR(__xludf.DUMMYFUNCTION("""COMPUTED_VALUE"""),"South")</f>
        <v>South</v>
      </c>
      <c r="F1361" s="26">
        <f>IFERROR(__xludf.DUMMYFUNCTION("""COMPUTED_VALUE"""),828.84)</f>
        <v>828.84</v>
      </c>
      <c r="G1361" s="26">
        <f>IFERROR(__xludf.DUMMYFUNCTION("""COMPUTED_VALUE"""),6.0)</f>
        <v>6</v>
      </c>
      <c r="H1361" s="26">
        <f>IFERROR(__xludf.DUMMYFUNCTION("""COMPUTED_VALUE"""),0.0)</f>
        <v>0</v>
      </c>
    </row>
    <row r="1362">
      <c r="A1362" s="26" t="str">
        <f>IFERROR(__xludf.DUMMYFUNCTION("""COMPUTED_VALUE"""),"CA-2014-132010")</f>
        <v>CA-2014-132010</v>
      </c>
      <c r="B1362" s="29">
        <f>IFERROR(__xludf.DUMMYFUNCTION("""COMPUTED_VALUE"""),41925.0)</f>
        <v>41925</v>
      </c>
      <c r="C1362" s="26" t="str">
        <f>IFERROR(__xludf.DUMMYFUNCTION("""COMPUTED_VALUE"""),"Home Office")</f>
        <v>Home Office</v>
      </c>
      <c r="D1362" s="26" t="str">
        <f>IFERROR(__xludf.DUMMYFUNCTION("""COMPUTED_VALUE"""),"Virginia")</f>
        <v>Virginia</v>
      </c>
      <c r="E1362" s="26" t="str">
        <f>IFERROR(__xludf.DUMMYFUNCTION("""COMPUTED_VALUE"""),"South")</f>
        <v>South</v>
      </c>
      <c r="F1362" s="26">
        <f>IFERROR(__xludf.DUMMYFUNCTION("""COMPUTED_VALUE"""),36.4)</f>
        <v>36.4</v>
      </c>
      <c r="G1362" s="26">
        <f>IFERROR(__xludf.DUMMYFUNCTION("""COMPUTED_VALUE"""),5.0)</f>
        <v>5</v>
      </c>
      <c r="H1362" s="26">
        <f>IFERROR(__xludf.DUMMYFUNCTION("""COMPUTED_VALUE"""),17.472)</f>
        <v>17.472</v>
      </c>
    </row>
    <row r="1363">
      <c r="A1363" s="26" t="str">
        <f>IFERROR(__xludf.DUMMYFUNCTION("""COMPUTED_VALUE"""),"CA-2014-123400")</f>
        <v>CA-2014-123400</v>
      </c>
      <c r="B1363" s="27">
        <f>IFERROR(__xludf.DUMMYFUNCTION("""COMPUTED_VALUE"""),41672.0)</f>
        <v>41672</v>
      </c>
      <c r="C1363" s="26" t="str">
        <f>IFERROR(__xludf.DUMMYFUNCTION("""COMPUTED_VALUE"""),"Consumer")</f>
        <v>Consumer</v>
      </c>
      <c r="D1363" s="26" t="str">
        <f>IFERROR(__xludf.DUMMYFUNCTION("""COMPUTED_VALUE"""),"Florida")</f>
        <v>Florida</v>
      </c>
      <c r="E1363" s="26" t="str">
        <f>IFERROR(__xludf.DUMMYFUNCTION("""COMPUTED_VALUE"""),"South")</f>
        <v>South</v>
      </c>
      <c r="F1363" s="26">
        <f>IFERROR(__xludf.DUMMYFUNCTION("""COMPUTED_VALUE"""),18.336)</f>
        <v>18.336</v>
      </c>
      <c r="G1363" s="26">
        <f>IFERROR(__xludf.DUMMYFUNCTION("""COMPUTED_VALUE"""),2.0)</f>
        <v>2</v>
      </c>
      <c r="H1363" s="26">
        <f>IFERROR(__xludf.DUMMYFUNCTION("""COMPUTED_VALUE"""),-12.224)</f>
        <v>-12.224</v>
      </c>
    </row>
    <row r="1364">
      <c r="A1364" s="26" t="str">
        <f>IFERROR(__xludf.DUMMYFUNCTION("""COMPUTED_VALUE"""),"CA-2014-154158")</f>
        <v>CA-2014-154158</v>
      </c>
      <c r="B1364" s="29">
        <f>IFERROR(__xludf.DUMMYFUNCTION("""COMPUTED_VALUE"""),41996.0)</f>
        <v>41996</v>
      </c>
      <c r="C1364" s="26" t="str">
        <f>IFERROR(__xludf.DUMMYFUNCTION("""COMPUTED_VALUE"""),"Consumer")</f>
        <v>Consumer</v>
      </c>
      <c r="D1364" s="26" t="str">
        <f>IFERROR(__xludf.DUMMYFUNCTION("""COMPUTED_VALUE"""),"Florida")</f>
        <v>Florida</v>
      </c>
      <c r="E1364" s="26" t="str">
        <f>IFERROR(__xludf.DUMMYFUNCTION("""COMPUTED_VALUE"""),"South")</f>
        <v>South</v>
      </c>
      <c r="F1364" s="26">
        <f>IFERROR(__xludf.DUMMYFUNCTION("""COMPUTED_VALUE"""),45.528)</f>
        <v>45.528</v>
      </c>
      <c r="G1364" s="26">
        <f>IFERROR(__xludf.DUMMYFUNCTION("""COMPUTED_VALUE"""),3.0)</f>
        <v>3</v>
      </c>
      <c r="H1364" s="26">
        <f>IFERROR(__xludf.DUMMYFUNCTION("""COMPUTED_VALUE"""),15.9348)</f>
        <v>15.9348</v>
      </c>
    </row>
    <row r="1365">
      <c r="A1365" s="26" t="str">
        <f>IFERROR(__xludf.DUMMYFUNCTION("""COMPUTED_VALUE"""),"CA-2014-148285")</f>
        <v>CA-2014-148285</v>
      </c>
      <c r="B1365" s="29">
        <f>IFERROR(__xludf.DUMMYFUNCTION("""COMPUTED_VALUE"""),41939.0)</f>
        <v>41939</v>
      </c>
      <c r="C1365" s="26" t="str">
        <f>IFERROR(__xludf.DUMMYFUNCTION("""COMPUTED_VALUE"""),"Home Office")</f>
        <v>Home Office</v>
      </c>
      <c r="D1365" s="26" t="str">
        <f>IFERROR(__xludf.DUMMYFUNCTION("""COMPUTED_VALUE"""),"North Carolina")</f>
        <v>North Carolina</v>
      </c>
      <c r="E1365" s="26" t="str">
        <f>IFERROR(__xludf.DUMMYFUNCTION("""COMPUTED_VALUE"""),"South")</f>
        <v>South</v>
      </c>
      <c r="F1365" s="26">
        <f>IFERROR(__xludf.DUMMYFUNCTION("""COMPUTED_VALUE"""),10.368)</f>
        <v>10.368</v>
      </c>
      <c r="G1365" s="26">
        <f>IFERROR(__xludf.DUMMYFUNCTION("""COMPUTED_VALUE"""),2.0)</f>
        <v>2</v>
      </c>
      <c r="H1365" s="26">
        <f>IFERROR(__xludf.DUMMYFUNCTION("""COMPUTED_VALUE"""),3.6288)</f>
        <v>3.6288</v>
      </c>
    </row>
    <row r="1366">
      <c r="A1366" s="26" t="str">
        <f>IFERROR(__xludf.DUMMYFUNCTION("""COMPUTED_VALUE"""),"CA-2014-100293")</f>
        <v>CA-2014-100293</v>
      </c>
      <c r="B1366" s="27">
        <f>IFERROR(__xludf.DUMMYFUNCTION("""COMPUTED_VALUE"""),41712.0)</f>
        <v>41712</v>
      </c>
      <c r="C1366" s="26" t="str">
        <f>IFERROR(__xludf.DUMMYFUNCTION("""COMPUTED_VALUE"""),"Home Office")</f>
        <v>Home Office</v>
      </c>
      <c r="D1366" s="26" t="str">
        <f>IFERROR(__xludf.DUMMYFUNCTION("""COMPUTED_VALUE"""),"Florida")</f>
        <v>Florida</v>
      </c>
      <c r="E1366" s="26" t="str">
        <f>IFERROR(__xludf.DUMMYFUNCTION("""COMPUTED_VALUE"""),"South")</f>
        <v>South</v>
      </c>
      <c r="F1366" s="26">
        <f>IFERROR(__xludf.DUMMYFUNCTION("""COMPUTED_VALUE"""),91.056)</f>
        <v>91.056</v>
      </c>
      <c r="G1366" s="26">
        <f>IFERROR(__xludf.DUMMYFUNCTION("""COMPUTED_VALUE"""),6.0)</f>
        <v>6</v>
      </c>
      <c r="H1366" s="26">
        <f>IFERROR(__xludf.DUMMYFUNCTION("""COMPUTED_VALUE"""),31.8696)</f>
        <v>31.8696</v>
      </c>
    </row>
    <row r="1367">
      <c r="A1367" s="26" t="str">
        <f>IFERROR(__xludf.DUMMYFUNCTION("""COMPUTED_VALUE"""),"CA-2014-130428")</f>
        <v>CA-2014-130428</v>
      </c>
      <c r="B1367" s="27">
        <f>IFERROR(__xludf.DUMMYFUNCTION("""COMPUTED_VALUE"""),41729.0)</f>
        <v>41729</v>
      </c>
      <c r="C1367" s="26" t="str">
        <f>IFERROR(__xludf.DUMMYFUNCTION("""COMPUTED_VALUE"""),"Consumer")</f>
        <v>Consumer</v>
      </c>
      <c r="D1367" s="26" t="str">
        <f>IFERROR(__xludf.DUMMYFUNCTION("""COMPUTED_VALUE"""),"Florida")</f>
        <v>Florida</v>
      </c>
      <c r="E1367" s="26" t="str">
        <f>IFERROR(__xludf.DUMMYFUNCTION("""COMPUTED_VALUE"""),"South")</f>
        <v>South</v>
      </c>
      <c r="F1367" s="26">
        <f>IFERROR(__xludf.DUMMYFUNCTION("""COMPUTED_VALUE"""),1125.488)</f>
        <v>1125.488</v>
      </c>
      <c r="G1367" s="26">
        <f>IFERROR(__xludf.DUMMYFUNCTION("""COMPUTED_VALUE"""),7.0)</f>
        <v>7</v>
      </c>
      <c r="H1367" s="26">
        <f>IFERROR(__xludf.DUMMYFUNCTION("""COMPUTED_VALUE"""),98.4802)</f>
        <v>98.4802</v>
      </c>
    </row>
    <row r="1368">
      <c r="A1368" s="26" t="str">
        <f>IFERROR(__xludf.DUMMYFUNCTION("""COMPUTED_VALUE"""),"CA-2014-130155")</f>
        <v>CA-2014-130155</v>
      </c>
      <c r="B1368" s="27">
        <f>IFERROR(__xludf.DUMMYFUNCTION("""COMPUTED_VALUE"""),41778.0)</f>
        <v>41778</v>
      </c>
      <c r="C1368" s="26" t="str">
        <f>IFERROR(__xludf.DUMMYFUNCTION("""COMPUTED_VALUE"""),"Consumer")</f>
        <v>Consumer</v>
      </c>
      <c r="D1368" s="26" t="str">
        <f>IFERROR(__xludf.DUMMYFUNCTION("""COMPUTED_VALUE"""),"Virginia")</f>
        <v>Virginia</v>
      </c>
      <c r="E1368" s="26" t="str">
        <f>IFERROR(__xludf.DUMMYFUNCTION("""COMPUTED_VALUE"""),"South")</f>
        <v>South</v>
      </c>
      <c r="F1368" s="26">
        <f>IFERROR(__xludf.DUMMYFUNCTION("""COMPUTED_VALUE"""),34.2)</f>
        <v>34.2</v>
      </c>
      <c r="G1368" s="26">
        <f>IFERROR(__xludf.DUMMYFUNCTION("""COMPUTED_VALUE"""),5.0)</f>
        <v>5</v>
      </c>
      <c r="H1368" s="26">
        <f>IFERROR(__xludf.DUMMYFUNCTION("""COMPUTED_VALUE"""),9.234)</f>
        <v>9.234</v>
      </c>
    </row>
    <row r="1369">
      <c r="A1369" s="26" t="str">
        <f>IFERROR(__xludf.DUMMYFUNCTION("""COMPUTED_VALUE"""),"CA-2014-114321")</f>
        <v>CA-2014-114321</v>
      </c>
      <c r="B1369" s="27">
        <f>IFERROR(__xludf.DUMMYFUNCTION("""COMPUTED_VALUE"""),41871.0)</f>
        <v>41871</v>
      </c>
      <c r="C1369" s="26" t="str">
        <f>IFERROR(__xludf.DUMMYFUNCTION("""COMPUTED_VALUE"""),"Corporate")</f>
        <v>Corporate</v>
      </c>
      <c r="D1369" s="26" t="str">
        <f>IFERROR(__xludf.DUMMYFUNCTION("""COMPUTED_VALUE"""),"Virginia")</f>
        <v>Virginia</v>
      </c>
      <c r="E1369" s="26" t="str">
        <f>IFERROR(__xludf.DUMMYFUNCTION("""COMPUTED_VALUE"""),"South")</f>
        <v>South</v>
      </c>
      <c r="F1369" s="26">
        <f>IFERROR(__xludf.DUMMYFUNCTION("""COMPUTED_VALUE"""),500.24)</f>
        <v>500.24</v>
      </c>
      <c r="G1369" s="26">
        <f>IFERROR(__xludf.DUMMYFUNCTION("""COMPUTED_VALUE"""),13.0)</f>
        <v>13</v>
      </c>
      <c r="H1369" s="26">
        <f>IFERROR(__xludf.DUMMYFUNCTION("""COMPUTED_VALUE"""),145.0696)</f>
        <v>145.0696</v>
      </c>
    </row>
    <row r="1370">
      <c r="A1370" s="26" t="str">
        <f>IFERROR(__xludf.DUMMYFUNCTION("""COMPUTED_VALUE"""),"US-2014-114377")</f>
        <v>US-2014-114377</v>
      </c>
      <c r="B1370" s="27">
        <f>IFERROR(__xludf.DUMMYFUNCTION("""COMPUTED_VALUE"""),41948.0)</f>
        <v>41948</v>
      </c>
      <c r="C1370" s="26" t="str">
        <f>IFERROR(__xludf.DUMMYFUNCTION("""COMPUTED_VALUE"""),"Consumer")</f>
        <v>Consumer</v>
      </c>
      <c r="D1370" s="26" t="str">
        <f>IFERROR(__xludf.DUMMYFUNCTION("""COMPUTED_VALUE"""),"Virginia")</f>
        <v>Virginia</v>
      </c>
      <c r="E1370" s="26" t="str">
        <f>IFERROR(__xludf.DUMMYFUNCTION("""COMPUTED_VALUE"""),"South")</f>
        <v>South</v>
      </c>
      <c r="F1370" s="26">
        <f>IFERROR(__xludf.DUMMYFUNCTION("""COMPUTED_VALUE"""),149.9)</f>
        <v>149.9</v>
      </c>
      <c r="G1370" s="26">
        <f>IFERROR(__xludf.DUMMYFUNCTION("""COMPUTED_VALUE"""),5.0)</f>
        <v>5</v>
      </c>
      <c r="H1370" s="26">
        <f>IFERROR(__xludf.DUMMYFUNCTION("""COMPUTED_VALUE"""),40.473)</f>
        <v>40.473</v>
      </c>
    </row>
    <row r="1371">
      <c r="A1371" s="26" t="str">
        <f>IFERROR(__xludf.DUMMYFUNCTION("""COMPUTED_VALUE"""),"CA-2014-120950")</f>
        <v>CA-2014-120950</v>
      </c>
      <c r="B1371" s="27">
        <f>IFERROR(__xludf.DUMMYFUNCTION("""COMPUTED_VALUE"""),41949.0)</f>
        <v>41949</v>
      </c>
      <c r="C1371" s="26" t="str">
        <f>IFERROR(__xludf.DUMMYFUNCTION("""COMPUTED_VALUE"""),"Consumer")</f>
        <v>Consumer</v>
      </c>
      <c r="D1371" s="26" t="str">
        <f>IFERROR(__xludf.DUMMYFUNCTION("""COMPUTED_VALUE"""),"Georgia")</f>
        <v>Georgia</v>
      </c>
      <c r="E1371" s="26" t="str">
        <f>IFERROR(__xludf.DUMMYFUNCTION("""COMPUTED_VALUE"""),"South")</f>
        <v>South</v>
      </c>
      <c r="F1371" s="26">
        <f>IFERROR(__xludf.DUMMYFUNCTION("""COMPUTED_VALUE"""),43.68)</f>
        <v>43.68</v>
      </c>
      <c r="G1371" s="26">
        <f>IFERROR(__xludf.DUMMYFUNCTION("""COMPUTED_VALUE"""),6.0)</f>
        <v>6</v>
      </c>
      <c r="H1371" s="26">
        <f>IFERROR(__xludf.DUMMYFUNCTION("""COMPUTED_VALUE"""),20.9664)</f>
        <v>20.9664</v>
      </c>
    </row>
    <row r="1372">
      <c r="A1372" s="26" t="str">
        <f>IFERROR(__xludf.DUMMYFUNCTION("""COMPUTED_VALUE"""),"CA-2014-153927")</f>
        <v>CA-2014-153927</v>
      </c>
      <c r="B1372" s="27">
        <f>IFERROR(__xludf.DUMMYFUNCTION("""COMPUTED_VALUE"""),41863.0)</f>
        <v>41863</v>
      </c>
      <c r="C1372" s="26" t="str">
        <f>IFERROR(__xludf.DUMMYFUNCTION("""COMPUTED_VALUE"""),"Consumer")</f>
        <v>Consumer</v>
      </c>
      <c r="D1372" s="26" t="str">
        <f>IFERROR(__xludf.DUMMYFUNCTION("""COMPUTED_VALUE"""),"Georgia")</f>
        <v>Georgia</v>
      </c>
      <c r="E1372" s="26" t="str">
        <f>IFERROR(__xludf.DUMMYFUNCTION("""COMPUTED_VALUE"""),"South")</f>
        <v>South</v>
      </c>
      <c r="F1372" s="26">
        <f>IFERROR(__xludf.DUMMYFUNCTION("""COMPUTED_VALUE"""),14.04)</f>
        <v>14.04</v>
      </c>
      <c r="G1372" s="26">
        <f>IFERROR(__xludf.DUMMYFUNCTION("""COMPUTED_VALUE"""),3.0)</f>
        <v>3</v>
      </c>
      <c r="H1372" s="26">
        <f>IFERROR(__xludf.DUMMYFUNCTION("""COMPUTED_VALUE"""),6.7392)</f>
        <v>6.7392</v>
      </c>
    </row>
    <row r="1373">
      <c r="A1373" s="26" t="str">
        <f>IFERROR(__xludf.DUMMYFUNCTION("""COMPUTED_VALUE"""),"US-2014-157231")</f>
        <v>US-2014-157231</v>
      </c>
      <c r="B1373" s="27">
        <f>IFERROR(__xludf.DUMMYFUNCTION("""COMPUTED_VALUE"""),41734.0)</f>
        <v>41734</v>
      </c>
      <c r="C1373" s="26" t="str">
        <f>IFERROR(__xludf.DUMMYFUNCTION("""COMPUTED_VALUE"""),"Corporate")</f>
        <v>Corporate</v>
      </c>
      <c r="D1373" s="26" t="str">
        <f>IFERROR(__xludf.DUMMYFUNCTION("""COMPUTED_VALUE"""),"Kentucky")</f>
        <v>Kentucky</v>
      </c>
      <c r="E1373" s="26" t="str">
        <f>IFERROR(__xludf.DUMMYFUNCTION("""COMPUTED_VALUE"""),"South")</f>
        <v>South</v>
      </c>
      <c r="F1373" s="26">
        <f>IFERROR(__xludf.DUMMYFUNCTION("""COMPUTED_VALUE"""),115.36)</f>
        <v>115.36</v>
      </c>
      <c r="G1373" s="26">
        <f>IFERROR(__xludf.DUMMYFUNCTION("""COMPUTED_VALUE"""),7.0)</f>
        <v>7</v>
      </c>
      <c r="H1373" s="26">
        <f>IFERROR(__xludf.DUMMYFUNCTION("""COMPUTED_VALUE"""),56.5264)</f>
        <v>56.5264</v>
      </c>
    </row>
    <row r="1374">
      <c r="A1374" s="26" t="str">
        <f>IFERROR(__xludf.DUMMYFUNCTION("""COMPUTED_VALUE"""),"CA-2014-110422")</f>
        <v>CA-2014-110422</v>
      </c>
      <c r="B1374" s="27">
        <f>IFERROR(__xludf.DUMMYFUNCTION("""COMPUTED_VALUE"""),41660.0)</f>
        <v>41660</v>
      </c>
      <c r="C1374" s="26" t="str">
        <f>IFERROR(__xludf.DUMMYFUNCTION("""COMPUTED_VALUE"""),"Consumer")</f>
        <v>Consumer</v>
      </c>
      <c r="D1374" s="26" t="str">
        <f>IFERROR(__xludf.DUMMYFUNCTION("""COMPUTED_VALUE"""),"Florida")</f>
        <v>Florida</v>
      </c>
      <c r="E1374" s="26" t="str">
        <f>IFERROR(__xludf.DUMMYFUNCTION("""COMPUTED_VALUE"""),"South")</f>
        <v>South</v>
      </c>
      <c r="F1374" s="26">
        <f>IFERROR(__xludf.DUMMYFUNCTION("""COMPUTED_VALUE"""),25.248)</f>
        <v>25.248</v>
      </c>
      <c r="G1374" s="26">
        <f>IFERROR(__xludf.DUMMYFUNCTION("""COMPUTED_VALUE"""),3.0)</f>
        <v>3</v>
      </c>
      <c r="H1374" s="26">
        <f>IFERROR(__xludf.DUMMYFUNCTION("""COMPUTED_VALUE"""),4.1028)</f>
        <v>4.1028</v>
      </c>
    </row>
    <row r="1375">
      <c r="A1375" s="26" t="str">
        <f>IFERROR(__xludf.DUMMYFUNCTION("""COMPUTED_VALUE"""),"US-2015-108966")</f>
        <v>US-2015-108966</v>
      </c>
      <c r="B1375" s="27">
        <f>IFERROR(__xludf.DUMMYFUNCTION("""COMPUTED_VALUE"""),42288.0)</f>
        <v>42288</v>
      </c>
      <c r="C1375" s="26" t="str">
        <f>IFERROR(__xludf.DUMMYFUNCTION("""COMPUTED_VALUE"""),"Sean O'Donnell")</f>
        <v>Sean O'Donnell</v>
      </c>
      <c r="D1375" s="26" t="str">
        <f>IFERROR(__xludf.DUMMYFUNCTION("""COMPUTED_VALUE"""),"Consumer")</f>
        <v>Consumer</v>
      </c>
      <c r="E1375" s="26" t="str">
        <f>IFERROR(__xludf.DUMMYFUNCTION("""COMPUTED_VALUE"""),"South")</f>
        <v>South</v>
      </c>
      <c r="F1375" s="26">
        <f>IFERROR(__xludf.DUMMYFUNCTION("""COMPUTED_VALUE"""),957.5775)</f>
        <v>957.5775</v>
      </c>
      <c r="G1375" s="26">
        <f>IFERROR(__xludf.DUMMYFUNCTION("""COMPUTED_VALUE"""),5.0)</f>
        <v>5</v>
      </c>
      <c r="H1375" s="26">
        <f>IFERROR(__xludf.DUMMYFUNCTION("""COMPUTED_VALUE"""),-383.031)</f>
        <v>-383.031</v>
      </c>
    </row>
    <row r="1376">
      <c r="A1376" s="26" t="str">
        <f>IFERROR(__xludf.DUMMYFUNCTION("""COMPUTED_VALUE"""),"US-2015-134026")</f>
        <v>US-2015-134026</v>
      </c>
      <c r="B1376" s="27">
        <f>IFERROR(__xludf.DUMMYFUNCTION("""COMPUTED_VALUE"""),42120.0)</f>
        <v>42120</v>
      </c>
      <c r="C1376" s="26" t="str">
        <f>IFERROR(__xludf.DUMMYFUNCTION("""COMPUTED_VALUE"""),"Joel Eaton")</f>
        <v>Joel Eaton</v>
      </c>
      <c r="D1376" s="26" t="str">
        <f>IFERROR(__xludf.DUMMYFUNCTION("""COMPUTED_VALUE"""),"Consumer")</f>
        <v>Consumer</v>
      </c>
      <c r="E1376" s="26" t="str">
        <f>IFERROR(__xludf.DUMMYFUNCTION("""COMPUTED_VALUE"""),"South")</f>
        <v>South</v>
      </c>
      <c r="F1376" s="26">
        <f>IFERROR(__xludf.DUMMYFUNCTION("""COMPUTED_VALUE"""),831.936)</f>
        <v>831.936</v>
      </c>
      <c r="G1376" s="26">
        <f>IFERROR(__xludf.DUMMYFUNCTION("""COMPUTED_VALUE"""),8.0)</f>
        <v>8</v>
      </c>
      <c r="H1376" s="26">
        <f>IFERROR(__xludf.DUMMYFUNCTION("""COMPUTED_VALUE"""),-114.3912)</f>
        <v>-114.3912</v>
      </c>
    </row>
    <row r="1377">
      <c r="A1377" s="26" t="str">
        <f>IFERROR(__xludf.DUMMYFUNCTION("""COMPUTED_VALUE"""),"CA-2015-149734")</f>
        <v>CA-2015-149734</v>
      </c>
      <c r="B1377" s="27">
        <f>IFERROR(__xludf.DUMMYFUNCTION("""COMPUTED_VALUE"""),42250.0)</f>
        <v>42250</v>
      </c>
      <c r="C1377" s="26" t="str">
        <f>IFERROR(__xludf.DUMMYFUNCTION("""COMPUTED_VALUE"""),"Julie Creighton")</f>
        <v>Julie Creighton</v>
      </c>
      <c r="D1377" s="26" t="str">
        <f>IFERROR(__xludf.DUMMYFUNCTION("""COMPUTED_VALUE"""),"Corporate")</f>
        <v>Corporate</v>
      </c>
      <c r="E1377" s="26" t="str">
        <f>IFERROR(__xludf.DUMMYFUNCTION("""COMPUTED_VALUE"""),"South")</f>
        <v>South</v>
      </c>
      <c r="F1377" s="26">
        <f>IFERROR(__xludf.DUMMYFUNCTION("""COMPUTED_VALUE"""),200.984)</f>
        <v>200.984</v>
      </c>
      <c r="G1377" s="26">
        <f>IFERROR(__xludf.DUMMYFUNCTION("""COMPUTED_VALUE"""),7.0)</f>
        <v>7</v>
      </c>
      <c r="H1377" s="26">
        <f>IFERROR(__xludf.DUMMYFUNCTION("""COMPUTED_VALUE"""),62.8075)</f>
        <v>62.8075</v>
      </c>
    </row>
    <row r="1378">
      <c r="A1378" s="26" t="str">
        <f>IFERROR(__xludf.DUMMYFUNCTION("""COMPUTED_VALUE"""),"US-2015-136476")</f>
        <v>US-2015-136476</v>
      </c>
      <c r="B1378" s="27">
        <f>IFERROR(__xludf.DUMMYFUNCTION("""COMPUTED_VALUE"""),42099.0)</f>
        <v>42099</v>
      </c>
      <c r="C1378" s="26" t="str">
        <f>IFERROR(__xludf.DUMMYFUNCTION("""COMPUTED_VALUE"""),"Greg Guthrie")</f>
        <v>Greg Guthrie</v>
      </c>
      <c r="D1378" s="26" t="str">
        <f>IFERROR(__xludf.DUMMYFUNCTION("""COMPUTED_VALUE"""),"Corporate")</f>
        <v>Corporate</v>
      </c>
      <c r="E1378" s="26" t="str">
        <f>IFERROR(__xludf.DUMMYFUNCTION("""COMPUTED_VALUE"""),"South")</f>
        <v>South</v>
      </c>
      <c r="F1378" s="26">
        <f>IFERROR(__xludf.DUMMYFUNCTION("""COMPUTED_VALUE"""),157.794)</f>
        <v>157.794</v>
      </c>
      <c r="G1378" s="26">
        <f>IFERROR(__xludf.DUMMYFUNCTION("""COMPUTED_VALUE"""),1.0)</f>
        <v>1</v>
      </c>
      <c r="H1378" s="26">
        <f>IFERROR(__xludf.DUMMYFUNCTION("""COMPUTED_VALUE"""),-115.7156)</f>
        <v>-115.7156</v>
      </c>
    </row>
    <row r="1379">
      <c r="A1379" s="26" t="str">
        <f>IFERROR(__xludf.DUMMYFUNCTION("""COMPUTED_VALUE"""),"US-2015-145436")</f>
        <v>US-2015-145436</v>
      </c>
      <c r="B1379" s="27">
        <f>IFERROR(__xludf.DUMMYFUNCTION("""COMPUTED_VALUE"""),42063.0)</f>
        <v>42063</v>
      </c>
      <c r="C1379" s="26" t="str">
        <f>IFERROR(__xludf.DUMMYFUNCTION("""COMPUTED_VALUE"""),"Valerie Dominguez")</f>
        <v>Valerie Dominguez</v>
      </c>
      <c r="D1379" s="26" t="str">
        <f>IFERROR(__xludf.DUMMYFUNCTION("""COMPUTED_VALUE"""),"Consumer")</f>
        <v>Consumer</v>
      </c>
      <c r="E1379" s="26" t="str">
        <f>IFERROR(__xludf.DUMMYFUNCTION("""COMPUTED_VALUE"""),"South")</f>
        <v>South</v>
      </c>
      <c r="F1379" s="26">
        <f>IFERROR(__xludf.DUMMYFUNCTION("""COMPUTED_VALUE"""),161.568)</f>
        <v>161.568</v>
      </c>
      <c r="G1379" s="26">
        <f>IFERROR(__xludf.DUMMYFUNCTION("""COMPUTED_VALUE"""),2.0)</f>
        <v>2</v>
      </c>
      <c r="H1379" s="26">
        <f>IFERROR(__xludf.DUMMYFUNCTION("""COMPUTED_VALUE"""),-28.2744)</f>
        <v>-28.2744</v>
      </c>
    </row>
    <row r="1380">
      <c r="A1380" s="26" t="str">
        <f>IFERROR(__xludf.DUMMYFUNCTION("""COMPUTED_VALUE"""),"US-2015-168935")</f>
        <v>US-2015-168935</v>
      </c>
      <c r="B1380" s="27">
        <f>IFERROR(__xludf.DUMMYFUNCTION("""COMPUTED_VALUE"""),42335.0)</f>
        <v>42335</v>
      </c>
      <c r="C1380" s="26" t="str">
        <f>IFERROR(__xludf.DUMMYFUNCTION("""COMPUTED_VALUE"""),"Denny Ordway")</f>
        <v>Denny Ordway</v>
      </c>
      <c r="D1380" s="26" t="str">
        <f>IFERROR(__xludf.DUMMYFUNCTION("""COMPUTED_VALUE"""),"Consumer")</f>
        <v>Consumer</v>
      </c>
      <c r="E1380" s="26" t="str">
        <f>IFERROR(__xludf.DUMMYFUNCTION("""COMPUTED_VALUE"""),"South")</f>
        <v>South</v>
      </c>
      <c r="F1380" s="26">
        <f>IFERROR(__xludf.DUMMYFUNCTION("""COMPUTED_VALUE"""),375.4575)</f>
        <v>375.4575</v>
      </c>
      <c r="G1380" s="26">
        <f>IFERROR(__xludf.DUMMYFUNCTION("""COMPUTED_VALUE"""),3.0)</f>
        <v>3</v>
      </c>
      <c r="H1380" s="26">
        <f>IFERROR(__xludf.DUMMYFUNCTION("""COMPUTED_VALUE"""),-157.0095)</f>
        <v>-157.0095</v>
      </c>
    </row>
    <row r="1381">
      <c r="A1381" s="26" t="str">
        <f>IFERROR(__xludf.DUMMYFUNCTION("""COMPUTED_VALUE"""),"CA-2015-134782")</f>
        <v>CA-2015-134782</v>
      </c>
      <c r="B1381" s="27">
        <f>IFERROR(__xludf.DUMMYFUNCTION("""COMPUTED_VALUE"""),42365.0)</f>
        <v>42365</v>
      </c>
      <c r="C1381" s="26" t="str">
        <f>IFERROR(__xludf.DUMMYFUNCTION("""COMPUTED_VALUE"""),"Maribeth Dona")</f>
        <v>Maribeth Dona</v>
      </c>
      <c r="D1381" s="26" t="str">
        <f>IFERROR(__xludf.DUMMYFUNCTION("""COMPUTED_VALUE"""),"Consumer")</f>
        <v>Consumer</v>
      </c>
      <c r="E1381" s="26" t="str">
        <f>IFERROR(__xludf.DUMMYFUNCTION("""COMPUTED_VALUE"""),"South")</f>
        <v>South</v>
      </c>
      <c r="F1381" s="26">
        <f>IFERROR(__xludf.DUMMYFUNCTION("""COMPUTED_VALUE"""),105.42)</f>
        <v>105.42</v>
      </c>
      <c r="G1381" s="26">
        <f>IFERROR(__xludf.DUMMYFUNCTION("""COMPUTED_VALUE"""),2.0)</f>
        <v>2</v>
      </c>
      <c r="H1381" s="26">
        <f>IFERROR(__xludf.DUMMYFUNCTION("""COMPUTED_VALUE"""),51.6558)</f>
        <v>51.6558</v>
      </c>
    </row>
    <row r="1382">
      <c r="A1382" s="26" t="str">
        <f>IFERROR(__xludf.DUMMYFUNCTION("""COMPUTED_VALUE"""),"CA-2015-145352")</f>
        <v>CA-2015-145352</v>
      </c>
      <c r="B1382" s="27">
        <f>IFERROR(__xludf.DUMMYFUNCTION("""COMPUTED_VALUE"""),42079.0)</f>
        <v>42079</v>
      </c>
      <c r="C1382" s="26" t="str">
        <f>IFERROR(__xludf.DUMMYFUNCTION("""COMPUTED_VALUE"""),"Christopher Martinez")</f>
        <v>Christopher Martinez</v>
      </c>
      <c r="D1382" s="26" t="str">
        <f>IFERROR(__xludf.DUMMYFUNCTION("""COMPUTED_VALUE"""),"Consumer")</f>
        <v>Consumer</v>
      </c>
      <c r="E1382" s="26" t="str">
        <f>IFERROR(__xludf.DUMMYFUNCTION("""COMPUTED_VALUE"""),"South")</f>
        <v>South</v>
      </c>
      <c r="F1382" s="26">
        <f>IFERROR(__xludf.DUMMYFUNCTION("""COMPUTED_VALUE"""),2.74)</f>
        <v>2.74</v>
      </c>
      <c r="G1382" s="26">
        <f>IFERROR(__xludf.DUMMYFUNCTION("""COMPUTED_VALUE"""),1.0)</f>
        <v>1</v>
      </c>
      <c r="H1382" s="26">
        <f>IFERROR(__xludf.DUMMYFUNCTION("""COMPUTED_VALUE"""),0.7398)</f>
        <v>0.7398</v>
      </c>
    </row>
    <row r="1383">
      <c r="A1383" s="26" t="str">
        <f>IFERROR(__xludf.DUMMYFUNCTION("""COMPUTED_VALUE"""),"CA-2015-134894")</f>
        <v>CA-2015-134894</v>
      </c>
      <c r="B1383" s="27">
        <f>IFERROR(__xludf.DUMMYFUNCTION("""COMPUTED_VALUE"""),42345.0)</f>
        <v>42345</v>
      </c>
      <c r="C1383" s="26" t="str">
        <f>IFERROR(__xludf.DUMMYFUNCTION("""COMPUTED_VALUE"""),"Darren Koutras")</f>
        <v>Darren Koutras</v>
      </c>
      <c r="D1383" s="26" t="str">
        <f>IFERROR(__xludf.DUMMYFUNCTION("""COMPUTED_VALUE"""),"Consumer")</f>
        <v>Consumer</v>
      </c>
      <c r="E1383" s="26" t="str">
        <f>IFERROR(__xludf.DUMMYFUNCTION("""COMPUTED_VALUE"""),"South")</f>
        <v>South</v>
      </c>
      <c r="F1383" s="26">
        <f>IFERROR(__xludf.DUMMYFUNCTION("""COMPUTED_VALUE"""),152.94)</f>
        <v>152.94</v>
      </c>
      <c r="G1383" s="26">
        <f>IFERROR(__xludf.DUMMYFUNCTION("""COMPUTED_VALUE"""),3.0)</f>
        <v>3</v>
      </c>
      <c r="H1383" s="26">
        <f>IFERROR(__xludf.DUMMYFUNCTION("""COMPUTED_VALUE"""),41.2938)</f>
        <v>41.2938</v>
      </c>
    </row>
    <row r="1384">
      <c r="A1384" s="26" t="str">
        <f>IFERROR(__xludf.DUMMYFUNCTION("""COMPUTED_VALUE"""),"CA-2015-128139")</f>
        <v>CA-2015-128139</v>
      </c>
      <c r="B1384" s="27">
        <f>IFERROR(__xludf.DUMMYFUNCTION("""COMPUTED_VALUE"""),42188.0)</f>
        <v>42188</v>
      </c>
      <c r="C1384" s="26" t="str">
        <f>IFERROR(__xludf.DUMMYFUNCTION("""COMPUTED_VALUE"""),"Bruce Degenhardt")</f>
        <v>Bruce Degenhardt</v>
      </c>
      <c r="D1384" s="26" t="str">
        <f>IFERROR(__xludf.DUMMYFUNCTION("""COMPUTED_VALUE"""),"Consumer")</f>
        <v>Consumer</v>
      </c>
      <c r="E1384" s="26" t="str">
        <f>IFERROR(__xludf.DUMMYFUNCTION("""COMPUTED_VALUE"""),"South")</f>
        <v>South</v>
      </c>
      <c r="F1384" s="26">
        <f>IFERROR(__xludf.DUMMYFUNCTION("""COMPUTED_VALUE"""),70.98)</f>
        <v>70.98</v>
      </c>
      <c r="G1384" s="26">
        <f>IFERROR(__xludf.DUMMYFUNCTION("""COMPUTED_VALUE"""),1.0)</f>
        <v>1</v>
      </c>
      <c r="H1384" s="26">
        <f>IFERROR(__xludf.DUMMYFUNCTION("""COMPUTED_VALUE"""),4.9686)</f>
        <v>4.9686</v>
      </c>
    </row>
    <row r="1385">
      <c r="A1385" s="26" t="str">
        <f>IFERROR(__xludf.DUMMYFUNCTION("""COMPUTED_VALUE"""),"CA-2015-168004")</f>
        <v>CA-2015-168004</v>
      </c>
      <c r="B1385" s="27">
        <f>IFERROR(__xludf.DUMMYFUNCTION("""COMPUTED_VALUE"""),42281.0)</f>
        <v>42281</v>
      </c>
      <c r="C1385" s="26" t="str">
        <f>IFERROR(__xludf.DUMMYFUNCTION("""COMPUTED_VALUE"""),"Denny Joy")</f>
        <v>Denny Joy</v>
      </c>
      <c r="D1385" s="26" t="str">
        <f>IFERROR(__xludf.DUMMYFUNCTION("""COMPUTED_VALUE"""),"Corporate")</f>
        <v>Corporate</v>
      </c>
      <c r="E1385" s="26" t="str">
        <f>IFERROR(__xludf.DUMMYFUNCTION("""COMPUTED_VALUE"""),"South")</f>
        <v>South</v>
      </c>
      <c r="F1385" s="26">
        <f>IFERROR(__xludf.DUMMYFUNCTION("""COMPUTED_VALUE"""),392.94)</f>
        <v>392.94</v>
      </c>
      <c r="G1385" s="26">
        <f>IFERROR(__xludf.DUMMYFUNCTION("""COMPUTED_VALUE"""),3.0)</f>
        <v>3</v>
      </c>
      <c r="H1385" s="26">
        <f>IFERROR(__xludf.DUMMYFUNCTION("""COMPUTED_VALUE"""),43.2234)</f>
        <v>43.2234</v>
      </c>
    </row>
    <row r="1386">
      <c r="A1386" s="26" t="str">
        <f>IFERROR(__xludf.DUMMYFUNCTION("""COMPUTED_VALUE"""),"CA-2015-154921")</f>
        <v>CA-2015-154921</v>
      </c>
      <c r="B1386" s="27">
        <f>IFERROR(__xludf.DUMMYFUNCTION("""COMPUTED_VALUE"""),42147.0)</f>
        <v>42147</v>
      </c>
      <c r="C1386" s="26" t="str">
        <f>IFERROR(__xludf.DUMMYFUNCTION("""COMPUTED_VALUE"""),"Erin Ashbrook")</f>
        <v>Erin Ashbrook</v>
      </c>
      <c r="D1386" s="26" t="str">
        <f>IFERROR(__xludf.DUMMYFUNCTION("""COMPUTED_VALUE"""),"Corporate")</f>
        <v>Corporate</v>
      </c>
      <c r="E1386" s="26" t="str">
        <f>IFERROR(__xludf.DUMMYFUNCTION("""COMPUTED_VALUE"""),"South")</f>
        <v>South</v>
      </c>
      <c r="F1386" s="26">
        <f>IFERROR(__xludf.DUMMYFUNCTION("""COMPUTED_VALUE"""),186.69)</f>
        <v>186.69</v>
      </c>
      <c r="G1386" s="26">
        <f>IFERROR(__xludf.DUMMYFUNCTION("""COMPUTED_VALUE"""),3.0)</f>
        <v>3</v>
      </c>
      <c r="H1386" s="26">
        <f>IFERROR(__xludf.DUMMYFUNCTION("""COMPUTED_VALUE"""),87.7443)</f>
        <v>87.7443</v>
      </c>
    </row>
    <row r="1387">
      <c r="A1387" s="26" t="str">
        <f>IFERROR(__xludf.DUMMYFUNCTION("""COMPUTED_VALUE"""),"CA-2015-115938")</f>
        <v>CA-2015-115938</v>
      </c>
      <c r="B1387" s="27">
        <f>IFERROR(__xludf.DUMMYFUNCTION("""COMPUTED_VALUE"""),42181.0)</f>
        <v>42181</v>
      </c>
      <c r="C1387" s="26" t="str">
        <f>IFERROR(__xludf.DUMMYFUNCTION("""COMPUTED_VALUE"""),"Sue Ann Reed")</f>
        <v>Sue Ann Reed</v>
      </c>
      <c r="D1387" s="26" t="str">
        <f>IFERROR(__xludf.DUMMYFUNCTION("""COMPUTED_VALUE"""),"Consumer")</f>
        <v>Consumer</v>
      </c>
      <c r="E1387" s="26" t="str">
        <f>IFERROR(__xludf.DUMMYFUNCTION("""COMPUTED_VALUE"""),"South")</f>
        <v>South</v>
      </c>
      <c r="F1387" s="26">
        <f>IFERROR(__xludf.DUMMYFUNCTION("""COMPUTED_VALUE"""),143.96)</f>
        <v>143.96</v>
      </c>
      <c r="G1387" s="26">
        <f>IFERROR(__xludf.DUMMYFUNCTION("""COMPUTED_VALUE"""),4.0)</f>
        <v>4</v>
      </c>
      <c r="H1387" s="26">
        <f>IFERROR(__xludf.DUMMYFUNCTION("""COMPUTED_VALUE"""),69.1008)</f>
        <v>69.1008</v>
      </c>
    </row>
    <row r="1388">
      <c r="A1388" s="26" t="str">
        <f>IFERROR(__xludf.DUMMYFUNCTION("""COMPUTED_VALUE"""),"CA-2015-114300")</f>
        <v>CA-2015-114300</v>
      </c>
      <c r="B1388" s="27">
        <f>IFERROR(__xludf.DUMMYFUNCTION("""COMPUTED_VALUE"""),42290.0)</f>
        <v>42290</v>
      </c>
      <c r="C1388" s="26" t="str">
        <f>IFERROR(__xludf.DUMMYFUNCTION("""COMPUTED_VALUE"""),"Art Foster")</f>
        <v>Art Foster</v>
      </c>
      <c r="D1388" s="26" t="str">
        <f>IFERROR(__xludf.DUMMYFUNCTION("""COMPUTED_VALUE"""),"Consumer")</f>
        <v>Consumer</v>
      </c>
      <c r="E1388" s="26" t="str">
        <f>IFERROR(__xludf.DUMMYFUNCTION("""COMPUTED_VALUE"""),"South")</f>
        <v>South</v>
      </c>
      <c r="F1388" s="26">
        <f>IFERROR(__xludf.DUMMYFUNCTION("""COMPUTED_VALUE"""),83.72)</f>
        <v>83.72</v>
      </c>
      <c r="G1388" s="26">
        <f>IFERROR(__xludf.DUMMYFUNCTION("""COMPUTED_VALUE"""),7.0)</f>
        <v>7</v>
      </c>
      <c r="H1388" s="26">
        <f>IFERROR(__xludf.DUMMYFUNCTION("""COMPUTED_VALUE"""),23.4416)</f>
        <v>23.4416</v>
      </c>
    </row>
    <row r="1389">
      <c r="A1389" s="26" t="str">
        <f>IFERROR(__xludf.DUMMYFUNCTION("""COMPUTED_VALUE"""),"CA-2015-129098")</f>
        <v>CA-2015-129098</v>
      </c>
      <c r="B1389" s="27">
        <f>IFERROR(__xludf.DUMMYFUNCTION("""COMPUTED_VALUE"""),42286.0)</f>
        <v>42286</v>
      </c>
      <c r="C1389" s="26" t="str">
        <f>IFERROR(__xludf.DUMMYFUNCTION("""COMPUTED_VALUE"""),"Dave Kipp")</f>
        <v>Dave Kipp</v>
      </c>
      <c r="D1389" s="26" t="str">
        <f>IFERROR(__xludf.DUMMYFUNCTION("""COMPUTED_VALUE"""),"Consumer")</f>
        <v>Consumer</v>
      </c>
      <c r="E1389" s="26" t="str">
        <f>IFERROR(__xludf.DUMMYFUNCTION("""COMPUTED_VALUE"""),"South")</f>
        <v>South</v>
      </c>
      <c r="F1389" s="26">
        <f>IFERROR(__xludf.DUMMYFUNCTION("""COMPUTED_VALUE"""),30.84)</f>
        <v>30.84</v>
      </c>
      <c r="G1389" s="26">
        <f>IFERROR(__xludf.DUMMYFUNCTION("""COMPUTED_VALUE"""),2.0)</f>
        <v>2</v>
      </c>
      <c r="H1389" s="26">
        <f>IFERROR(__xludf.DUMMYFUNCTION("""COMPUTED_VALUE"""),8.3268)</f>
        <v>8.3268</v>
      </c>
    </row>
    <row r="1390">
      <c r="A1390" s="26" t="str">
        <f>IFERROR(__xludf.DUMMYFUNCTION("""COMPUTED_VALUE"""),"CA-2015-115091")</f>
        <v>CA-2015-115091</v>
      </c>
      <c r="B1390" s="27">
        <f>IFERROR(__xludf.DUMMYFUNCTION("""COMPUTED_VALUE"""),42282.0)</f>
        <v>42282</v>
      </c>
      <c r="C1390" s="26" t="str">
        <f>IFERROR(__xludf.DUMMYFUNCTION("""COMPUTED_VALUE"""),"Joel Jenkins")</f>
        <v>Joel Jenkins</v>
      </c>
      <c r="D1390" s="26" t="str">
        <f>IFERROR(__xludf.DUMMYFUNCTION("""COMPUTED_VALUE"""),"Home Office")</f>
        <v>Home Office</v>
      </c>
      <c r="E1390" s="26" t="str">
        <f>IFERROR(__xludf.DUMMYFUNCTION("""COMPUTED_VALUE"""),"South")</f>
        <v>South</v>
      </c>
      <c r="F1390" s="26">
        <f>IFERROR(__xludf.DUMMYFUNCTION("""COMPUTED_VALUE"""),46.2)</f>
        <v>46.2</v>
      </c>
      <c r="G1390" s="26">
        <f>IFERROR(__xludf.DUMMYFUNCTION("""COMPUTED_VALUE"""),4.0)</f>
        <v>4</v>
      </c>
      <c r="H1390" s="26">
        <f>IFERROR(__xludf.DUMMYFUNCTION("""COMPUTED_VALUE"""),12.936)</f>
        <v>12.936</v>
      </c>
    </row>
    <row r="1391">
      <c r="A1391" s="26" t="str">
        <f>IFERROR(__xludf.DUMMYFUNCTION("""COMPUTED_VALUE"""),"CA-2015-160059")</f>
        <v>CA-2015-160059</v>
      </c>
      <c r="B1391" s="27">
        <f>IFERROR(__xludf.DUMMYFUNCTION("""COMPUTED_VALUE"""),42335.0)</f>
        <v>42335</v>
      </c>
      <c r="C1391" s="26" t="str">
        <f>IFERROR(__xludf.DUMMYFUNCTION("""COMPUTED_VALUE"""),"Thomas Brumley")</f>
        <v>Thomas Brumley</v>
      </c>
      <c r="D1391" s="26" t="str">
        <f>IFERROR(__xludf.DUMMYFUNCTION("""COMPUTED_VALUE"""),"Home Office")</f>
        <v>Home Office</v>
      </c>
      <c r="E1391" s="26" t="str">
        <f>IFERROR(__xludf.DUMMYFUNCTION("""COMPUTED_VALUE"""),"South")</f>
        <v>South</v>
      </c>
      <c r="F1391" s="26">
        <f>IFERROR(__xludf.DUMMYFUNCTION("""COMPUTED_VALUE"""),6.24)</f>
        <v>6.24</v>
      </c>
      <c r="G1391" s="26">
        <f>IFERROR(__xludf.DUMMYFUNCTION("""COMPUTED_VALUE"""),2.0)</f>
        <v>2</v>
      </c>
      <c r="H1391" s="26">
        <f>IFERROR(__xludf.DUMMYFUNCTION("""COMPUTED_VALUE"""),3.0576)</f>
        <v>3.0576</v>
      </c>
    </row>
    <row r="1392">
      <c r="A1392" s="26" t="str">
        <f>IFERROR(__xludf.DUMMYFUNCTION("""COMPUTED_VALUE"""),"CA-2015-153549")</f>
        <v>CA-2015-153549</v>
      </c>
      <c r="B1392" s="27">
        <f>IFERROR(__xludf.DUMMYFUNCTION("""COMPUTED_VALUE"""),42092.0)</f>
        <v>42092</v>
      </c>
      <c r="C1392" s="26" t="str">
        <f>IFERROR(__xludf.DUMMYFUNCTION("""COMPUTED_VALUE"""),"Sara Luxemburg")</f>
        <v>Sara Luxemburg</v>
      </c>
      <c r="D1392" s="26" t="str">
        <f>IFERROR(__xludf.DUMMYFUNCTION("""COMPUTED_VALUE"""),"Home Office")</f>
        <v>Home Office</v>
      </c>
      <c r="E1392" s="26" t="str">
        <f>IFERROR(__xludf.DUMMYFUNCTION("""COMPUTED_VALUE"""),"South")</f>
        <v>South</v>
      </c>
      <c r="F1392" s="26">
        <f>IFERROR(__xludf.DUMMYFUNCTION("""COMPUTED_VALUE"""),1166.92)</f>
        <v>1166.92</v>
      </c>
      <c r="G1392" s="26">
        <f>IFERROR(__xludf.DUMMYFUNCTION("""COMPUTED_VALUE"""),5.0)</f>
        <v>5</v>
      </c>
      <c r="H1392" s="26">
        <f>IFERROR(__xludf.DUMMYFUNCTION("""COMPUTED_VALUE"""),131.2785)</f>
        <v>131.2785</v>
      </c>
    </row>
    <row r="1393">
      <c r="A1393" s="26" t="str">
        <f>IFERROR(__xludf.DUMMYFUNCTION("""COMPUTED_VALUE"""),"CA-2015-162537")</f>
        <v>CA-2015-162537</v>
      </c>
      <c r="B1393" s="27">
        <f>IFERROR(__xludf.DUMMYFUNCTION("""COMPUTED_VALUE"""),42305.0)</f>
        <v>42305</v>
      </c>
      <c r="C1393" s="26" t="str">
        <f>IFERROR(__xludf.DUMMYFUNCTION("""COMPUTED_VALUE"""),"Rob Dowd")</f>
        <v>Rob Dowd</v>
      </c>
      <c r="D1393" s="26" t="str">
        <f>IFERROR(__xludf.DUMMYFUNCTION("""COMPUTED_VALUE"""),"Consumer")</f>
        <v>Consumer</v>
      </c>
      <c r="E1393" s="26" t="str">
        <f>IFERROR(__xludf.DUMMYFUNCTION("""COMPUTED_VALUE"""),"South")</f>
        <v>South</v>
      </c>
      <c r="F1393" s="26">
        <f>IFERROR(__xludf.DUMMYFUNCTION("""COMPUTED_VALUE"""),10.67)</f>
        <v>10.67</v>
      </c>
      <c r="G1393" s="26">
        <f>IFERROR(__xludf.DUMMYFUNCTION("""COMPUTED_VALUE"""),1.0)</f>
        <v>1</v>
      </c>
      <c r="H1393" s="26">
        <f>IFERROR(__xludf.DUMMYFUNCTION("""COMPUTED_VALUE"""),4.9082)</f>
        <v>4.9082</v>
      </c>
    </row>
    <row r="1394">
      <c r="A1394" s="26" t="str">
        <f>IFERROR(__xludf.DUMMYFUNCTION("""COMPUTED_VALUE"""),"CA-2015-111199")</f>
        <v>CA-2015-111199</v>
      </c>
      <c r="B1394" s="27">
        <f>IFERROR(__xludf.DUMMYFUNCTION("""COMPUTED_VALUE"""),42321.0)</f>
        <v>42321</v>
      </c>
      <c r="C1394" s="26" t="str">
        <f>IFERROR(__xludf.DUMMYFUNCTION("""COMPUTED_VALUE"""),"Joe Kamberova")</f>
        <v>Joe Kamberova</v>
      </c>
      <c r="D1394" s="26" t="str">
        <f>IFERROR(__xludf.DUMMYFUNCTION("""COMPUTED_VALUE"""),"Consumer")</f>
        <v>Consumer</v>
      </c>
      <c r="E1394" s="26" t="str">
        <f>IFERROR(__xludf.DUMMYFUNCTION("""COMPUTED_VALUE"""),"South")</f>
        <v>South</v>
      </c>
      <c r="F1394" s="26">
        <f>IFERROR(__xludf.DUMMYFUNCTION("""COMPUTED_VALUE"""),115.296)</f>
        <v>115.296</v>
      </c>
      <c r="G1394" s="26">
        <f>IFERROR(__xludf.DUMMYFUNCTION("""COMPUTED_VALUE"""),3.0)</f>
        <v>3</v>
      </c>
      <c r="H1394" s="26">
        <f>IFERROR(__xludf.DUMMYFUNCTION("""COMPUTED_VALUE"""),40.3536)</f>
        <v>40.3536</v>
      </c>
    </row>
    <row r="1395">
      <c r="A1395" s="26" t="str">
        <f>IFERROR(__xludf.DUMMYFUNCTION("""COMPUTED_VALUE"""),"CA-2015-142755")</f>
        <v>CA-2015-142755</v>
      </c>
      <c r="B1395" s="27">
        <f>IFERROR(__xludf.DUMMYFUNCTION("""COMPUTED_VALUE"""),42251.0)</f>
        <v>42251</v>
      </c>
      <c r="C1395" s="26" t="str">
        <f>IFERROR(__xludf.DUMMYFUNCTION("""COMPUTED_VALUE"""),"Christine Sundaresam")</f>
        <v>Christine Sundaresam</v>
      </c>
      <c r="D1395" s="26" t="str">
        <f>IFERROR(__xludf.DUMMYFUNCTION("""COMPUTED_VALUE"""),"Consumer")</f>
        <v>Consumer</v>
      </c>
      <c r="E1395" s="26" t="str">
        <f>IFERROR(__xludf.DUMMYFUNCTION("""COMPUTED_VALUE"""),"South")</f>
        <v>South</v>
      </c>
      <c r="F1395" s="26">
        <f>IFERROR(__xludf.DUMMYFUNCTION("""COMPUTED_VALUE"""),279.9)</f>
        <v>279.9</v>
      </c>
      <c r="G1395" s="26">
        <f>IFERROR(__xludf.DUMMYFUNCTION("""COMPUTED_VALUE"""),5.0)</f>
        <v>5</v>
      </c>
      <c r="H1395" s="26">
        <f>IFERROR(__xludf.DUMMYFUNCTION("""COMPUTED_VALUE"""),137.151)</f>
        <v>137.151</v>
      </c>
    </row>
    <row r="1396">
      <c r="A1396" s="26" t="str">
        <f>IFERROR(__xludf.DUMMYFUNCTION("""COMPUTED_VALUE"""),"US-2015-130519")</f>
        <v>US-2015-130519</v>
      </c>
      <c r="B1396" s="27">
        <f>IFERROR(__xludf.DUMMYFUNCTION("""COMPUTED_VALUE"""),42262.0)</f>
        <v>42262</v>
      </c>
      <c r="C1396" s="26" t="str">
        <f>IFERROR(__xludf.DUMMYFUNCTION("""COMPUTED_VALUE"""),"Nat Gilpin")</f>
        <v>Nat Gilpin</v>
      </c>
      <c r="D1396" s="26" t="str">
        <f>IFERROR(__xludf.DUMMYFUNCTION("""COMPUTED_VALUE"""),"Corporate")</f>
        <v>Corporate</v>
      </c>
      <c r="E1396" s="26" t="str">
        <f>IFERROR(__xludf.DUMMYFUNCTION("""COMPUTED_VALUE"""),"South")</f>
        <v>South</v>
      </c>
      <c r="F1396" s="26">
        <f>IFERROR(__xludf.DUMMYFUNCTION("""COMPUTED_VALUE"""),15.552)</f>
        <v>15.552</v>
      </c>
      <c r="G1396" s="26">
        <f>IFERROR(__xludf.DUMMYFUNCTION("""COMPUTED_VALUE"""),3.0)</f>
        <v>3</v>
      </c>
      <c r="H1396" s="26">
        <f>IFERROR(__xludf.DUMMYFUNCTION("""COMPUTED_VALUE"""),5.4432)</f>
        <v>5.4432</v>
      </c>
    </row>
    <row r="1397">
      <c r="A1397" s="26" t="str">
        <f>IFERROR(__xludf.DUMMYFUNCTION("""COMPUTED_VALUE"""),"CA-2015-115847")</f>
        <v>CA-2015-115847</v>
      </c>
      <c r="B1397" s="27">
        <f>IFERROR(__xludf.DUMMYFUNCTION("""COMPUTED_VALUE"""),42266.0)</f>
        <v>42266</v>
      </c>
      <c r="C1397" s="26" t="str">
        <f>IFERROR(__xludf.DUMMYFUNCTION("""COMPUTED_VALUE"""),"Tracy Collins")</f>
        <v>Tracy Collins</v>
      </c>
      <c r="D1397" s="26" t="str">
        <f>IFERROR(__xludf.DUMMYFUNCTION("""COMPUTED_VALUE"""),"Home Office")</f>
        <v>Home Office</v>
      </c>
      <c r="E1397" s="26" t="str">
        <f>IFERROR(__xludf.DUMMYFUNCTION("""COMPUTED_VALUE"""),"South")</f>
        <v>South</v>
      </c>
      <c r="F1397" s="26">
        <f>IFERROR(__xludf.DUMMYFUNCTION("""COMPUTED_VALUE"""),61.96)</f>
        <v>61.96</v>
      </c>
      <c r="G1397" s="26">
        <f>IFERROR(__xludf.DUMMYFUNCTION("""COMPUTED_VALUE"""),2.0)</f>
        <v>2</v>
      </c>
      <c r="H1397" s="26">
        <f>IFERROR(__xludf.DUMMYFUNCTION("""COMPUTED_VALUE"""),4.3372)</f>
        <v>4.3372</v>
      </c>
    </row>
    <row r="1398">
      <c r="A1398" s="26" t="str">
        <f>IFERROR(__xludf.DUMMYFUNCTION("""COMPUTED_VALUE"""),"CA-2015-100769")</f>
        <v>CA-2015-100769</v>
      </c>
      <c r="B1398" s="27">
        <f>IFERROR(__xludf.DUMMYFUNCTION("""COMPUTED_VALUE"""),42140.0)</f>
        <v>42140</v>
      </c>
      <c r="C1398" s="26" t="str">
        <f>IFERROR(__xludf.DUMMYFUNCTION("""COMPUTED_VALUE"""),"Tracy Hopkins")</f>
        <v>Tracy Hopkins</v>
      </c>
      <c r="D1398" s="26" t="str">
        <f>IFERROR(__xludf.DUMMYFUNCTION("""COMPUTED_VALUE"""),"Home Office")</f>
        <v>Home Office</v>
      </c>
      <c r="E1398" s="26" t="str">
        <f>IFERROR(__xludf.DUMMYFUNCTION("""COMPUTED_VALUE"""),"South")</f>
        <v>South</v>
      </c>
      <c r="F1398" s="26">
        <f>IFERROR(__xludf.DUMMYFUNCTION("""COMPUTED_VALUE"""),255.968)</f>
        <v>255.968</v>
      </c>
      <c r="G1398" s="26">
        <f>IFERROR(__xludf.DUMMYFUNCTION("""COMPUTED_VALUE"""),4.0)</f>
        <v>4</v>
      </c>
      <c r="H1398" s="26">
        <f>IFERROR(__xludf.DUMMYFUNCTION("""COMPUTED_VALUE"""),31.996)</f>
        <v>31.996</v>
      </c>
    </row>
    <row r="1399">
      <c r="A1399" s="26" t="str">
        <f>IFERROR(__xludf.DUMMYFUNCTION("""COMPUTED_VALUE"""),"CA-2015-103793")</f>
        <v>CA-2015-103793</v>
      </c>
      <c r="B1399" s="27">
        <f>IFERROR(__xludf.DUMMYFUNCTION("""COMPUTED_VALUE"""),42089.0)</f>
        <v>42089</v>
      </c>
      <c r="C1399" s="26" t="str">
        <f>IFERROR(__xludf.DUMMYFUNCTION("""COMPUTED_VALUE"""),"Benjamin Venier")</f>
        <v>Benjamin Venier</v>
      </c>
      <c r="D1399" s="26" t="str">
        <f>IFERROR(__xludf.DUMMYFUNCTION("""COMPUTED_VALUE"""),"Corporate")</f>
        <v>Corporate</v>
      </c>
      <c r="E1399" s="26" t="str">
        <f>IFERROR(__xludf.DUMMYFUNCTION("""COMPUTED_VALUE"""),"South")</f>
        <v>South</v>
      </c>
      <c r="F1399" s="26">
        <f>IFERROR(__xludf.DUMMYFUNCTION("""COMPUTED_VALUE"""),74.352)</f>
        <v>74.352</v>
      </c>
      <c r="G1399" s="26">
        <f>IFERROR(__xludf.DUMMYFUNCTION("""COMPUTED_VALUE"""),3.0)</f>
        <v>3</v>
      </c>
      <c r="H1399" s="26">
        <f>IFERROR(__xludf.DUMMYFUNCTION("""COMPUTED_VALUE"""),23.235)</f>
        <v>23.235</v>
      </c>
    </row>
    <row r="1400">
      <c r="A1400" s="26" t="str">
        <f>IFERROR(__xludf.DUMMYFUNCTION("""COMPUTED_VALUE"""),"CA-2015-143119")</f>
        <v>CA-2015-143119</v>
      </c>
      <c r="B1400" s="27">
        <f>IFERROR(__xludf.DUMMYFUNCTION("""COMPUTED_VALUE"""),42271.0)</f>
        <v>42271</v>
      </c>
      <c r="C1400" s="26" t="str">
        <f>IFERROR(__xludf.DUMMYFUNCTION("""COMPUTED_VALUE"""),"Marc Crier")</f>
        <v>Marc Crier</v>
      </c>
      <c r="D1400" s="26" t="str">
        <f>IFERROR(__xludf.DUMMYFUNCTION("""COMPUTED_VALUE"""),"Consumer")</f>
        <v>Consumer</v>
      </c>
      <c r="E1400" s="26" t="str">
        <f>IFERROR(__xludf.DUMMYFUNCTION("""COMPUTED_VALUE"""),"South")</f>
        <v>South</v>
      </c>
      <c r="F1400" s="26">
        <f>IFERROR(__xludf.DUMMYFUNCTION("""COMPUTED_VALUE"""),517.5)</f>
        <v>517.5</v>
      </c>
      <c r="G1400" s="26">
        <f>IFERROR(__xludf.DUMMYFUNCTION("""COMPUTED_VALUE"""),6.0)</f>
        <v>6</v>
      </c>
      <c r="H1400" s="26">
        <f>IFERROR(__xludf.DUMMYFUNCTION("""COMPUTED_VALUE"""),155.25)</f>
        <v>155.25</v>
      </c>
    </row>
    <row r="1401">
      <c r="A1401" s="26" t="str">
        <f>IFERROR(__xludf.DUMMYFUNCTION("""COMPUTED_VALUE"""),"CA-2015-150560")</f>
        <v>CA-2015-150560</v>
      </c>
      <c r="B1401" s="27">
        <f>IFERROR(__xludf.DUMMYFUNCTION("""COMPUTED_VALUE"""),42349.0)</f>
        <v>42349</v>
      </c>
      <c r="C1401" s="26" t="str">
        <f>IFERROR(__xludf.DUMMYFUNCTION("""COMPUTED_VALUE"""),"Shaun Weien")</f>
        <v>Shaun Weien</v>
      </c>
      <c r="D1401" s="26" t="str">
        <f>IFERROR(__xludf.DUMMYFUNCTION("""COMPUTED_VALUE"""),"Consumer")</f>
        <v>Consumer</v>
      </c>
      <c r="E1401" s="26" t="str">
        <f>IFERROR(__xludf.DUMMYFUNCTION("""COMPUTED_VALUE"""),"South")</f>
        <v>South</v>
      </c>
      <c r="F1401" s="26">
        <f>IFERROR(__xludf.DUMMYFUNCTION("""COMPUTED_VALUE"""),196.62)</f>
        <v>196.62</v>
      </c>
      <c r="G1401" s="26">
        <f>IFERROR(__xludf.DUMMYFUNCTION("""COMPUTED_VALUE"""),2.0)</f>
        <v>2</v>
      </c>
      <c r="H1401" s="26">
        <f>IFERROR(__xludf.DUMMYFUNCTION("""COMPUTED_VALUE"""),96.3438)</f>
        <v>96.3438</v>
      </c>
    </row>
    <row r="1402">
      <c r="A1402" s="26" t="str">
        <f>IFERROR(__xludf.DUMMYFUNCTION("""COMPUTED_VALUE"""),"US-2015-140851")</f>
        <v>US-2015-140851</v>
      </c>
      <c r="B1402" s="27">
        <f>IFERROR(__xludf.DUMMYFUNCTION("""COMPUTED_VALUE"""),42198.0)</f>
        <v>42198</v>
      </c>
      <c r="C1402" s="26" t="str">
        <f>IFERROR(__xludf.DUMMYFUNCTION("""COMPUTED_VALUE"""),"Neil Ducich")</f>
        <v>Neil Ducich</v>
      </c>
      <c r="D1402" s="26" t="str">
        <f>IFERROR(__xludf.DUMMYFUNCTION("""COMPUTED_VALUE"""),"Corporate")</f>
        <v>Corporate</v>
      </c>
      <c r="E1402" s="26" t="str">
        <f>IFERROR(__xludf.DUMMYFUNCTION("""COMPUTED_VALUE"""),"South")</f>
        <v>South</v>
      </c>
      <c r="F1402" s="26">
        <f>IFERROR(__xludf.DUMMYFUNCTION("""COMPUTED_VALUE"""),38.88)</f>
        <v>38.88</v>
      </c>
      <c r="G1402" s="26">
        <f>IFERROR(__xludf.DUMMYFUNCTION("""COMPUTED_VALUE"""),6.0)</f>
        <v>6</v>
      </c>
      <c r="H1402" s="26">
        <f>IFERROR(__xludf.DUMMYFUNCTION("""COMPUTED_VALUE"""),18.6624)</f>
        <v>18.6624</v>
      </c>
    </row>
    <row r="1403">
      <c r="A1403" s="26" t="str">
        <f>IFERROR(__xludf.DUMMYFUNCTION("""COMPUTED_VALUE"""),"CA-2015-131422")</f>
        <v>CA-2015-131422</v>
      </c>
      <c r="B1403" s="27">
        <f>IFERROR(__xludf.DUMMYFUNCTION("""COMPUTED_VALUE"""),42313.0)</f>
        <v>42313</v>
      </c>
      <c r="C1403" s="26" t="str">
        <f>IFERROR(__xludf.DUMMYFUNCTION("""COMPUTED_VALUE"""),"George Bell")</f>
        <v>George Bell</v>
      </c>
      <c r="D1403" s="26" t="str">
        <f>IFERROR(__xludf.DUMMYFUNCTION("""COMPUTED_VALUE"""),"Corporate")</f>
        <v>Corporate</v>
      </c>
      <c r="E1403" s="26" t="str">
        <f>IFERROR(__xludf.DUMMYFUNCTION("""COMPUTED_VALUE"""),"South")</f>
        <v>South</v>
      </c>
      <c r="F1403" s="26">
        <f>IFERROR(__xludf.DUMMYFUNCTION("""COMPUTED_VALUE"""),207.0)</f>
        <v>207</v>
      </c>
      <c r="G1403" s="26">
        <f>IFERROR(__xludf.DUMMYFUNCTION("""COMPUTED_VALUE"""),3.0)</f>
        <v>3</v>
      </c>
      <c r="H1403" s="26">
        <f>IFERROR(__xludf.DUMMYFUNCTION("""COMPUTED_VALUE"""),25.875)</f>
        <v>25.875</v>
      </c>
    </row>
    <row r="1404">
      <c r="A1404" s="26" t="str">
        <f>IFERROR(__xludf.DUMMYFUNCTION("""COMPUTED_VALUE"""),"CA-2015-119592")</f>
        <v>CA-2015-119592</v>
      </c>
      <c r="B1404" s="27">
        <f>IFERROR(__xludf.DUMMYFUNCTION("""COMPUTED_VALUE"""),42352.0)</f>
        <v>42352</v>
      </c>
      <c r="C1404" s="26" t="str">
        <f>IFERROR(__xludf.DUMMYFUNCTION("""COMPUTED_VALUE"""),"Muhammed MacIntyre")</f>
        <v>Muhammed MacIntyre</v>
      </c>
      <c r="D1404" s="26" t="str">
        <f>IFERROR(__xludf.DUMMYFUNCTION("""COMPUTED_VALUE"""),"Corporate")</f>
        <v>Corporate</v>
      </c>
      <c r="E1404" s="26" t="str">
        <f>IFERROR(__xludf.DUMMYFUNCTION("""COMPUTED_VALUE"""),"South")</f>
        <v>South</v>
      </c>
      <c r="F1404" s="26">
        <f>IFERROR(__xludf.DUMMYFUNCTION("""COMPUTED_VALUE"""),3.76)</f>
        <v>3.76</v>
      </c>
      <c r="G1404" s="26">
        <f>IFERROR(__xludf.DUMMYFUNCTION("""COMPUTED_VALUE"""),2.0)</f>
        <v>2</v>
      </c>
      <c r="H1404" s="26">
        <f>IFERROR(__xludf.DUMMYFUNCTION("""COMPUTED_VALUE"""),1.8048)</f>
        <v>1.8048</v>
      </c>
    </row>
    <row r="1405">
      <c r="A1405" s="26" t="str">
        <f>IFERROR(__xludf.DUMMYFUNCTION("""COMPUTED_VALUE"""),"US-2015-164357")</f>
        <v>US-2015-164357</v>
      </c>
      <c r="B1405" s="27">
        <f>IFERROR(__xludf.DUMMYFUNCTION("""COMPUTED_VALUE"""),42333.0)</f>
        <v>42333</v>
      </c>
      <c r="C1405" s="26" t="str">
        <f>IFERROR(__xludf.DUMMYFUNCTION("""COMPUTED_VALUE"""),"Sandra Flanagan")</f>
        <v>Sandra Flanagan</v>
      </c>
      <c r="D1405" s="26" t="str">
        <f>IFERROR(__xludf.DUMMYFUNCTION("""COMPUTED_VALUE"""),"Consumer")</f>
        <v>Consumer</v>
      </c>
      <c r="E1405" s="26" t="str">
        <f>IFERROR(__xludf.DUMMYFUNCTION("""COMPUTED_VALUE"""),"South")</f>
        <v>South</v>
      </c>
      <c r="F1405" s="26">
        <f>IFERROR(__xludf.DUMMYFUNCTION("""COMPUTED_VALUE"""),13.12)</f>
        <v>13.12</v>
      </c>
      <c r="G1405" s="26">
        <f>IFERROR(__xludf.DUMMYFUNCTION("""COMPUTED_VALUE"""),5.0)</f>
        <v>5</v>
      </c>
      <c r="H1405" s="26">
        <f>IFERROR(__xludf.DUMMYFUNCTION("""COMPUTED_VALUE"""),1.476)</f>
        <v>1.476</v>
      </c>
    </row>
    <row r="1406">
      <c r="A1406" s="26" t="str">
        <f>IFERROR(__xludf.DUMMYFUNCTION("""COMPUTED_VALUE"""),"CA-2015-149342")</f>
        <v>CA-2015-149342</v>
      </c>
      <c r="B1406" s="27">
        <f>IFERROR(__xludf.DUMMYFUNCTION("""COMPUTED_VALUE"""),42114.0)</f>
        <v>42114</v>
      </c>
      <c r="C1406" s="26" t="str">
        <f>IFERROR(__xludf.DUMMYFUNCTION("""COMPUTED_VALUE"""),"Theresa Swint")</f>
        <v>Theresa Swint</v>
      </c>
      <c r="D1406" s="26" t="str">
        <f>IFERROR(__xludf.DUMMYFUNCTION("""COMPUTED_VALUE"""),"Corporate")</f>
        <v>Corporate</v>
      </c>
      <c r="E1406" s="26" t="str">
        <f>IFERROR(__xludf.DUMMYFUNCTION("""COMPUTED_VALUE"""),"South")</f>
        <v>South</v>
      </c>
      <c r="F1406" s="26">
        <f>IFERROR(__xludf.DUMMYFUNCTION("""COMPUTED_VALUE"""),287.97)</f>
        <v>287.97</v>
      </c>
      <c r="G1406" s="26">
        <f>IFERROR(__xludf.DUMMYFUNCTION("""COMPUTED_VALUE"""),3.0)</f>
        <v>3</v>
      </c>
      <c r="H1406" s="26">
        <f>IFERROR(__xludf.DUMMYFUNCTION("""COMPUTED_VALUE"""),77.7519)</f>
        <v>77.7519</v>
      </c>
    </row>
    <row r="1407">
      <c r="A1407" s="26" t="str">
        <f>IFERROR(__xludf.DUMMYFUNCTION("""COMPUTED_VALUE"""),"CA-2015-117828")</f>
        <v>CA-2015-117828</v>
      </c>
      <c r="B1407" s="27">
        <f>IFERROR(__xludf.DUMMYFUNCTION("""COMPUTED_VALUE"""),42361.0)</f>
        <v>42361</v>
      </c>
      <c r="C1407" s="26" t="str">
        <f>IFERROR(__xludf.DUMMYFUNCTION("""COMPUTED_VALUE"""),"Bradley Drucker")</f>
        <v>Bradley Drucker</v>
      </c>
      <c r="D1407" s="26" t="str">
        <f>IFERROR(__xludf.DUMMYFUNCTION("""COMPUTED_VALUE"""),"Consumer")</f>
        <v>Consumer</v>
      </c>
      <c r="E1407" s="26" t="str">
        <f>IFERROR(__xludf.DUMMYFUNCTION("""COMPUTED_VALUE"""),"South")</f>
        <v>South</v>
      </c>
      <c r="F1407" s="26">
        <f>IFERROR(__xludf.DUMMYFUNCTION("""COMPUTED_VALUE"""),194.32)</f>
        <v>194.32</v>
      </c>
      <c r="G1407" s="26">
        <f>IFERROR(__xludf.DUMMYFUNCTION("""COMPUTED_VALUE"""),4.0)</f>
        <v>4</v>
      </c>
      <c r="H1407" s="26">
        <f>IFERROR(__xludf.DUMMYFUNCTION("""COMPUTED_VALUE"""),56.3528)</f>
        <v>56.3528</v>
      </c>
    </row>
    <row r="1408">
      <c r="A1408" s="26" t="str">
        <f>IFERROR(__xludf.DUMMYFUNCTION("""COMPUTED_VALUE"""),"CA-2015-109470")</f>
        <v>CA-2015-109470</v>
      </c>
      <c r="B1408" s="27">
        <f>IFERROR(__xludf.DUMMYFUNCTION("""COMPUTED_VALUE"""),42369.0)</f>
        <v>42369</v>
      </c>
      <c r="C1408" s="26" t="str">
        <f>IFERROR(__xludf.DUMMYFUNCTION("""COMPUTED_VALUE"""),"Karen Carlisle")</f>
        <v>Karen Carlisle</v>
      </c>
      <c r="D1408" s="26" t="str">
        <f>IFERROR(__xludf.DUMMYFUNCTION("""COMPUTED_VALUE"""),"Corporate")</f>
        <v>Corporate</v>
      </c>
      <c r="E1408" s="26" t="str">
        <f>IFERROR(__xludf.DUMMYFUNCTION("""COMPUTED_VALUE"""),"South")</f>
        <v>South</v>
      </c>
      <c r="F1408" s="26">
        <f>IFERROR(__xludf.DUMMYFUNCTION("""COMPUTED_VALUE"""),94.74)</f>
        <v>94.74</v>
      </c>
      <c r="G1408" s="26">
        <f>IFERROR(__xludf.DUMMYFUNCTION("""COMPUTED_VALUE"""),3.0)</f>
        <v>3</v>
      </c>
      <c r="H1408" s="26">
        <f>IFERROR(__xludf.DUMMYFUNCTION("""COMPUTED_VALUE"""),44.5278)</f>
        <v>44.5278</v>
      </c>
    </row>
    <row r="1409">
      <c r="A1409" s="26" t="str">
        <f>IFERROR(__xludf.DUMMYFUNCTION("""COMPUTED_VALUE"""),"CA-2015-154746")</f>
        <v>CA-2015-154746</v>
      </c>
      <c r="B1409" s="27">
        <f>IFERROR(__xludf.DUMMYFUNCTION("""COMPUTED_VALUE"""),42322.0)</f>
        <v>42322</v>
      </c>
      <c r="C1409" s="26" t="str">
        <f>IFERROR(__xludf.DUMMYFUNCTION("""COMPUTED_VALUE"""),"Patrick Jones")</f>
        <v>Patrick Jones</v>
      </c>
      <c r="D1409" s="26" t="str">
        <f>IFERROR(__xludf.DUMMYFUNCTION("""COMPUTED_VALUE"""),"Corporate")</f>
        <v>Corporate</v>
      </c>
      <c r="E1409" s="26" t="str">
        <f>IFERROR(__xludf.DUMMYFUNCTION("""COMPUTED_VALUE"""),"South")</f>
        <v>South</v>
      </c>
      <c r="F1409" s="26">
        <f>IFERROR(__xludf.DUMMYFUNCTION("""COMPUTED_VALUE"""),33.96)</f>
        <v>33.96</v>
      </c>
      <c r="G1409" s="26">
        <f>IFERROR(__xludf.DUMMYFUNCTION("""COMPUTED_VALUE"""),2.0)</f>
        <v>2</v>
      </c>
      <c r="H1409" s="26">
        <f>IFERROR(__xludf.DUMMYFUNCTION("""COMPUTED_VALUE"""),16.98)</f>
        <v>16.98</v>
      </c>
    </row>
    <row r="1410">
      <c r="A1410" s="26" t="str">
        <f>IFERROR(__xludf.DUMMYFUNCTION("""COMPUTED_VALUE"""),"CA-2015-128027")</f>
        <v>CA-2015-128027</v>
      </c>
      <c r="B1410" s="27">
        <f>IFERROR(__xludf.DUMMYFUNCTION("""COMPUTED_VALUE"""),42261.0)</f>
        <v>42261</v>
      </c>
      <c r="C1410" s="26" t="str">
        <f>IFERROR(__xludf.DUMMYFUNCTION("""COMPUTED_VALUE"""),"Christopher Martinez")</f>
        <v>Christopher Martinez</v>
      </c>
      <c r="D1410" s="26" t="str">
        <f>IFERROR(__xludf.DUMMYFUNCTION("""COMPUTED_VALUE"""),"Consumer")</f>
        <v>Consumer</v>
      </c>
      <c r="E1410" s="26" t="str">
        <f>IFERROR(__xludf.DUMMYFUNCTION("""COMPUTED_VALUE"""),"South")</f>
        <v>South</v>
      </c>
      <c r="F1410" s="26">
        <f>IFERROR(__xludf.DUMMYFUNCTION("""COMPUTED_VALUE"""),269.49)</f>
        <v>269.49</v>
      </c>
      <c r="G1410" s="26">
        <f>IFERROR(__xludf.DUMMYFUNCTION("""COMPUTED_VALUE"""),3.0)</f>
        <v>3</v>
      </c>
      <c r="H1410" s="26">
        <f>IFERROR(__xludf.DUMMYFUNCTION("""COMPUTED_VALUE"""),5.3898)</f>
        <v>5.3898</v>
      </c>
    </row>
    <row r="1411">
      <c r="A1411" s="26" t="str">
        <f>IFERROR(__xludf.DUMMYFUNCTION("""COMPUTED_VALUE"""),"CA-2015-102722")</f>
        <v>CA-2015-102722</v>
      </c>
      <c r="B1411" s="27">
        <f>IFERROR(__xludf.DUMMYFUNCTION("""COMPUTED_VALUE"""),42112.0)</f>
        <v>42112</v>
      </c>
      <c r="C1411" s="26" t="str">
        <f>IFERROR(__xludf.DUMMYFUNCTION("""COMPUTED_VALUE"""),"Kelly Williams")</f>
        <v>Kelly Williams</v>
      </c>
      <c r="D1411" s="26" t="str">
        <f>IFERROR(__xludf.DUMMYFUNCTION("""COMPUTED_VALUE"""),"Consumer")</f>
        <v>Consumer</v>
      </c>
      <c r="E1411" s="26" t="str">
        <f>IFERROR(__xludf.DUMMYFUNCTION("""COMPUTED_VALUE"""),"South")</f>
        <v>South</v>
      </c>
      <c r="F1411" s="26">
        <f>IFERROR(__xludf.DUMMYFUNCTION("""COMPUTED_VALUE"""),106.5)</f>
        <v>106.5</v>
      </c>
      <c r="G1411" s="26">
        <f>IFERROR(__xludf.DUMMYFUNCTION("""COMPUTED_VALUE"""),6.0)</f>
        <v>6</v>
      </c>
      <c r="H1411" s="26">
        <f>IFERROR(__xludf.DUMMYFUNCTION("""COMPUTED_VALUE"""),41.535)</f>
        <v>41.535</v>
      </c>
    </row>
    <row r="1412">
      <c r="A1412" s="26" t="str">
        <f>IFERROR(__xludf.DUMMYFUNCTION("""COMPUTED_VALUE"""),"US-2015-112508")</f>
        <v>US-2015-112508</v>
      </c>
      <c r="B1412" s="27">
        <f>IFERROR(__xludf.DUMMYFUNCTION("""COMPUTED_VALUE"""),42087.0)</f>
        <v>42087</v>
      </c>
      <c r="C1412" s="26" t="str">
        <f>IFERROR(__xludf.DUMMYFUNCTION("""COMPUTED_VALUE"""),"Ben Peterman")</f>
        <v>Ben Peterman</v>
      </c>
      <c r="D1412" s="26" t="str">
        <f>IFERROR(__xludf.DUMMYFUNCTION("""COMPUTED_VALUE"""),"Corporate")</f>
        <v>Corporate</v>
      </c>
      <c r="E1412" s="26" t="str">
        <f>IFERROR(__xludf.DUMMYFUNCTION("""COMPUTED_VALUE"""),"South")</f>
        <v>South</v>
      </c>
      <c r="F1412" s="26">
        <f>IFERROR(__xludf.DUMMYFUNCTION("""COMPUTED_VALUE"""),6.992)</f>
        <v>6.992</v>
      </c>
      <c r="G1412" s="26">
        <f>IFERROR(__xludf.DUMMYFUNCTION("""COMPUTED_VALUE"""),2.0)</f>
        <v>2</v>
      </c>
      <c r="H1412" s="26">
        <f>IFERROR(__xludf.DUMMYFUNCTION("""COMPUTED_VALUE"""),0.5244)</f>
        <v>0.5244</v>
      </c>
    </row>
    <row r="1413">
      <c r="A1413" s="26" t="str">
        <f>IFERROR(__xludf.DUMMYFUNCTION("""COMPUTED_VALUE"""),"CA-2015-144288")</f>
        <v>CA-2015-144288</v>
      </c>
      <c r="B1413" s="27">
        <f>IFERROR(__xludf.DUMMYFUNCTION("""COMPUTED_VALUE"""),42363.0)</f>
        <v>42363</v>
      </c>
      <c r="C1413" s="26" t="str">
        <f>IFERROR(__xludf.DUMMYFUNCTION("""COMPUTED_VALUE"""),"Maria Bertelson")</f>
        <v>Maria Bertelson</v>
      </c>
      <c r="D1413" s="26" t="str">
        <f>IFERROR(__xludf.DUMMYFUNCTION("""COMPUTED_VALUE"""),"Consumer")</f>
        <v>Consumer</v>
      </c>
      <c r="E1413" s="26" t="str">
        <f>IFERROR(__xludf.DUMMYFUNCTION("""COMPUTED_VALUE"""),"South")</f>
        <v>South</v>
      </c>
      <c r="F1413" s="26">
        <f>IFERROR(__xludf.DUMMYFUNCTION("""COMPUTED_VALUE"""),9.216)</f>
        <v>9.216</v>
      </c>
      <c r="G1413" s="26">
        <f>IFERROR(__xludf.DUMMYFUNCTION("""COMPUTED_VALUE"""),4.0)</f>
        <v>4</v>
      </c>
      <c r="H1413" s="26">
        <f>IFERROR(__xludf.DUMMYFUNCTION("""COMPUTED_VALUE"""),3.3408)</f>
        <v>3.3408</v>
      </c>
    </row>
    <row r="1414">
      <c r="A1414" s="26" t="str">
        <f>IFERROR(__xludf.DUMMYFUNCTION("""COMPUTED_VALUE"""),"CA-2015-116750")</f>
        <v>CA-2015-116750</v>
      </c>
      <c r="B1414" s="27">
        <f>IFERROR(__xludf.DUMMYFUNCTION("""COMPUTED_VALUE"""),42190.0)</f>
        <v>42190</v>
      </c>
      <c r="C1414" s="26" t="str">
        <f>IFERROR(__xludf.DUMMYFUNCTION("""COMPUTED_VALUE"""),"Barbara Fisher")</f>
        <v>Barbara Fisher</v>
      </c>
      <c r="D1414" s="26" t="str">
        <f>IFERROR(__xludf.DUMMYFUNCTION("""COMPUTED_VALUE"""),"Corporate")</f>
        <v>Corporate</v>
      </c>
      <c r="E1414" s="26" t="str">
        <f>IFERROR(__xludf.DUMMYFUNCTION("""COMPUTED_VALUE"""),"South")</f>
        <v>South</v>
      </c>
      <c r="F1414" s="26">
        <f>IFERROR(__xludf.DUMMYFUNCTION("""COMPUTED_VALUE"""),4.928)</f>
        <v>4.928</v>
      </c>
      <c r="G1414" s="26">
        <f>IFERROR(__xludf.DUMMYFUNCTION("""COMPUTED_VALUE"""),2.0)</f>
        <v>2</v>
      </c>
      <c r="H1414" s="26">
        <f>IFERROR(__xludf.DUMMYFUNCTION("""COMPUTED_VALUE"""),0.7392)</f>
        <v>0.7392</v>
      </c>
    </row>
    <row r="1415">
      <c r="A1415" s="26" t="str">
        <f>IFERROR(__xludf.DUMMYFUNCTION("""COMPUTED_VALUE"""),"CA-2015-169740")</f>
        <v>CA-2015-169740</v>
      </c>
      <c r="B1415" s="27">
        <f>IFERROR(__xludf.DUMMYFUNCTION("""COMPUTED_VALUE"""),42055.0)</f>
        <v>42055</v>
      </c>
      <c r="C1415" s="26" t="str">
        <f>IFERROR(__xludf.DUMMYFUNCTION("""COMPUTED_VALUE"""),"Liz MacKendrick")</f>
        <v>Liz MacKendrick</v>
      </c>
      <c r="D1415" s="26" t="str">
        <f>IFERROR(__xludf.DUMMYFUNCTION("""COMPUTED_VALUE"""),"Consumer")</f>
        <v>Consumer</v>
      </c>
      <c r="E1415" s="26" t="str">
        <f>IFERROR(__xludf.DUMMYFUNCTION("""COMPUTED_VALUE"""),"South")</f>
        <v>South</v>
      </c>
      <c r="F1415" s="26">
        <f>IFERROR(__xludf.DUMMYFUNCTION("""COMPUTED_VALUE"""),29.99)</f>
        <v>29.99</v>
      </c>
      <c r="G1415" s="26">
        <f>IFERROR(__xludf.DUMMYFUNCTION("""COMPUTED_VALUE"""),1.0)</f>
        <v>1</v>
      </c>
      <c r="H1415" s="26">
        <f>IFERROR(__xludf.DUMMYFUNCTION("""COMPUTED_VALUE"""),2.999)</f>
        <v>2.999</v>
      </c>
    </row>
    <row r="1416">
      <c r="A1416" s="26" t="str">
        <f>IFERROR(__xludf.DUMMYFUNCTION("""COMPUTED_VALUE"""),"US-2015-120572")</f>
        <v>US-2015-120572</v>
      </c>
      <c r="B1416" s="27">
        <f>IFERROR(__xludf.DUMMYFUNCTION("""COMPUTED_VALUE"""),42349.0)</f>
        <v>42349</v>
      </c>
      <c r="C1416" s="26" t="str">
        <f>IFERROR(__xludf.DUMMYFUNCTION("""COMPUTED_VALUE"""),"Gary Hwang")</f>
        <v>Gary Hwang</v>
      </c>
      <c r="D1416" s="26" t="str">
        <f>IFERROR(__xludf.DUMMYFUNCTION("""COMPUTED_VALUE"""),"Consumer")</f>
        <v>Consumer</v>
      </c>
      <c r="E1416" s="26" t="str">
        <f>IFERROR(__xludf.DUMMYFUNCTION("""COMPUTED_VALUE"""),"South")</f>
        <v>South</v>
      </c>
      <c r="F1416" s="26">
        <f>IFERROR(__xludf.DUMMYFUNCTION("""COMPUTED_VALUE"""),12.828)</f>
        <v>12.828</v>
      </c>
      <c r="G1416" s="26">
        <f>IFERROR(__xludf.DUMMYFUNCTION("""COMPUTED_VALUE"""),2.0)</f>
        <v>2</v>
      </c>
      <c r="H1416" s="26">
        <f>IFERROR(__xludf.DUMMYFUNCTION("""COMPUTED_VALUE"""),-8.9796)</f>
        <v>-8.9796</v>
      </c>
    </row>
    <row r="1417">
      <c r="A1417" s="26" t="str">
        <f>IFERROR(__xludf.DUMMYFUNCTION("""COMPUTED_VALUE"""),"CA-2015-110247")</f>
        <v>CA-2015-110247</v>
      </c>
      <c r="B1417" s="27">
        <f>IFERROR(__xludf.DUMMYFUNCTION("""COMPUTED_VALUE"""),42342.0)</f>
        <v>42342</v>
      </c>
      <c r="C1417" s="26" t="str">
        <f>IFERROR(__xludf.DUMMYFUNCTION("""COMPUTED_VALUE"""),"Ritsa Hightower")</f>
        <v>Ritsa Hightower</v>
      </c>
      <c r="D1417" s="26" t="str">
        <f>IFERROR(__xludf.DUMMYFUNCTION("""COMPUTED_VALUE"""),"Consumer")</f>
        <v>Consumer</v>
      </c>
      <c r="E1417" s="26" t="str">
        <f>IFERROR(__xludf.DUMMYFUNCTION("""COMPUTED_VALUE"""),"South")</f>
        <v>South</v>
      </c>
      <c r="F1417" s="26">
        <f>IFERROR(__xludf.DUMMYFUNCTION("""COMPUTED_VALUE"""),8.226)</f>
        <v>8.226</v>
      </c>
      <c r="G1417" s="26">
        <f>IFERROR(__xludf.DUMMYFUNCTION("""COMPUTED_VALUE"""),3.0)</f>
        <v>3</v>
      </c>
      <c r="H1417" s="26">
        <f>IFERROR(__xludf.DUMMYFUNCTION("""COMPUTED_VALUE"""),-6.0324)</f>
        <v>-6.0324</v>
      </c>
    </row>
    <row r="1418">
      <c r="A1418" s="26" t="str">
        <f>IFERROR(__xludf.DUMMYFUNCTION("""COMPUTED_VALUE"""),"CA-2015-118444")</f>
        <v>CA-2015-118444</v>
      </c>
      <c r="B1418" s="27">
        <f>IFERROR(__xludf.DUMMYFUNCTION("""COMPUTED_VALUE"""),42313.0)</f>
        <v>42313</v>
      </c>
      <c r="C1418" s="26" t="str">
        <f>IFERROR(__xludf.DUMMYFUNCTION("""COMPUTED_VALUE"""),"Valerie Dominguez")</f>
        <v>Valerie Dominguez</v>
      </c>
      <c r="D1418" s="26" t="str">
        <f>IFERROR(__xludf.DUMMYFUNCTION("""COMPUTED_VALUE"""),"Consumer")</f>
        <v>Consumer</v>
      </c>
      <c r="E1418" s="26" t="str">
        <f>IFERROR(__xludf.DUMMYFUNCTION("""COMPUTED_VALUE"""),"South")</f>
        <v>South</v>
      </c>
      <c r="F1418" s="26">
        <f>IFERROR(__xludf.DUMMYFUNCTION("""COMPUTED_VALUE"""),387.136)</f>
        <v>387.136</v>
      </c>
      <c r="G1418" s="26">
        <f>IFERROR(__xludf.DUMMYFUNCTION("""COMPUTED_VALUE"""),4.0)</f>
        <v>4</v>
      </c>
      <c r="H1418" s="26">
        <f>IFERROR(__xludf.DUMMYFUNCTION("""COMPUTED_VALUE"""),24.196)</f>
        <v>24.196</v>
      </c>
    </row>
    <row r="1419">
      <c r="A1419" s="26" t="str">
        <f>IFERROR(__xludf.DUMMYFUNCTION("""COMPUTED_VALUE"""),"US-2015-123960")</f>
        <v>US-2015-123960</v>
      </c>
      <c r="B1419" s="27">
        <f>IFERROR(__xludf.DUMMYFUNCTION("""COMPUTED_VALUE"""),42166.0)</f>
        <v>42166</v>
      </c>
      <c r="C1419" s="26" t="str">
        <f>IFERROR(__xludf.DUMMYFUNCTION("""COMPUTED_VALUE"""),"Brian Dahlen")</f>
        <v>Brian Dahlen</v>
      </c>
      <c r="D1419" s="26" t="str">
        <f>IFERROR(__xludf.DUMMYFUNCTION("""COMPUTED_VALUE"""),"Consumer")</f>
        <v>Consumer</v>
      </c>
      <c r="E1419" s="26" t="str">
        <f>IFERROR(__xludf.DUMMYFUNCTION("""COMPUTED_VALUE"""),"South")</f>
        <v>South</v>
      </c>
      <c r="F1419" s="26">
        <f>IFERROR(__xludf.DUMMYFUNCTION("""COMPUTED_VALUE"""),53.7)</f>
        <v>53.7</v>
      </c>
      <c r="G1419" s="26">
        <f>IFERROR(__xludf.DUMMYFUNCTION("""COMPUTED_VALUE"""),6.0)</f>
        <v>6</v>
      </c>
      <c r="H1419" s="26">
        <f>IFERROR(__xludf.DUMMYFUNCTION("""COMPUTED_VALUE"""),10.203)</f>
        <v>10.203</v>
      </c>
    </row>
    <row r="1420">
      <c r="A1420" s="26" t="str">
        <f>IFERROR(__xludf.DUMMYFUNCTION("""COMPUTED_VALUE"""),"CA-2015-121720")</f>
        <v>CA-2015-121720</v>
      </c>
      <c r="B1420" s="27">
        <f>IFERROR(__xludf.DUMMYFUNCTION("""COMPUTED_VALUE"""),42166.0)</f>
        <v>42166</v>
      </c>
      <c r="C1420" s="26" t="str">
        <f>IFERROR(__xludf.DUMMYFUNCTION("""COMPUTED_VALUE"""),"Jim Epp")</f>
        <v>Jim Epp</v>
      </c>
      <c r="D1420" s="26" t="str">
        <f>IFERROR(__xludf.DUMMYFUNCTION("""COMPUTED_VALUE"""),"Corporate")</f>
        <v>Corporate</v>
      </c>
      <c r="E1420" s="26" t="str">
        <f>IFERROR(__xludf.DUMMYFUNCTION("""COMPUTED_VALUE"""),"South")</f>
        <v>South</v>
      </c>
      <c r="F1420" s="26">
        <f>IFERROR(__xludf.DUMMYFUNCTION("""COMPUTED_VALUE"""),1123.92)</f>
        <v>1123.92</v>
      </c>
      <c r="G1420" s="26">
        <f>IFERROR(__xludf.DUMMYFUNCTION("""COMPUTED_VALUE"""),5.0)</f>
        <v>5</v>
      </c>
      <c r="H1420" s="26">
        <f>IFERROR(__xludf.DUMMYFUNCTION("""COMPUTED_VALUE"""),-182.637)</f>
        <v>-182.637</v>
      </c>
    </row>
    <row r="1421">
      <c r="A1421" s="26" t="str">
        <f>IFERROR(__xludf.DUMMYFUNCTION("""COMPUTED_VALUE"""),"CA-2015-155453")</f>
        <v>CA-2015-155453</v>
      </c>
      <c r="B1421" s="27">
        <f>IFERROR(__xludf.DUMMYFUNCTION("""COMPUTED_VALUE"""),42225.0)</f>
        <v>42225</v>
      </c>
      <c r="C1421" s="26" t="str">
        <f>IFERROR(__xludf.DUMMYFUNCTION("""COMPUTED_VALUE"""),"Ruben Ausman")</f>
        <v>Ruben Ausman</v>
      </c>
      <c r="D1421" s="26" t="str">
        <f>IFERROR(__xludf.DUMMYFUNCTION("""COMPUTED_VALUE"""),"Corporate")</f>
        <v>Corporate</v>
      </c>
      <c r="E1421" s="26" t="str">
        <f>IFERROR(__xludf.DUMMYFUNCTION("""COMPUTED_VALUE"""),"South")</f>
        <v>South</v>
      </c>
      <c r="F1421" s="26">
        <f>IFERROR(__xludf.DUMMYFUNCTION("""COMPUTED_VALUE"""),4.608)</f>
        <v>4.608</v>
      </c>
      <c r="G1421" s="26">
        <f>IFERROR(__xludf.DUMMYFUNCTION("""COMPUTED_VALUE"""),2.0)</f>
        <v>2</v>
      </c>
      <c r="H1421" s="26">
        <f>IFERROR(__xludf.DUMMYFUNCTION("""COMPUTED_VALUE"""),1.6704)</f>
        <v>1.6704</v>
      </c>
    </row>
    <row r="1422">
      <c r="A1422" s="26" t="str">
        <f>IFERROR(__xludf.DUMMYFUNCTION("""COMPUTED_VALUE"""),"CA-2015-153325")</f>
        <v>CA-2015-153325</v>
      </c>
      <c r="B1422" s="27">
        <f>IFERROR(__xludf.DUMMYFUNCTION("""COMPUTED_VALUE"""),42064.0)</f>
        <v>42064</v>
      </c>
      <c r="C1422" s="26" t="str">
        <f>IFERROR(__xludf.DUMMYFUNCTION("""COMPUTED_VALUE"""),"Shui Tom")</f>
        <v>Shui Tom</v>
      </c>
      <c r="D1422" s="26" t="str">
        <f>IFERROR(__xludf.DUMMYFUNCTION("""COMPUTED_VALUE"""),"Consumer")</f>
        <v>Consumer</v>
      </c>
      <c r="E1422" s="26" t="str">
        <f>IFERROR(__xludf.DUMMYFUNCTION("""COMPUTED_VALUE"""),"South")</f>
        <v>South</v>
      </c>
      <c r="F1422" s="26">
        <f>IFERROR(__xludf.DUMMYFUNCTION("""COMPUTED_VALUE"""),58.72)</f>
        <v>58.72</v>
      </c>
      <c r="G1422" s="26">
        <f>IFERROR(__xludf.DUMMYFUNCTION("""COMPUTED_VALUE"""),4.0)</f>
        <v>4</v>
      </c>
      <c r="H1422" s="26">
        <f>IFERROR(__xludf.DUMMYFUNCTION("""COMPUTED_VALUE"""),27.0112)</f>
        <v>27.0112</v>
      </c>
    </row>
    <row r="1423">
      <c r="A1423" s="26" t="str">
        <f>IFERROR(__xludf.DUMMYFUNCTION("""COMPUTED_VALUE"""),"CA-2015-153626")</f>
        <v>CA-2015-153626</v>
      </c>
      <c r="B1423" s="27">
        <f>IFERROR(__xludf.DUMMYFUNCTION("""COMPUTED_VALUE"""),42194.0)</f>
        <v>42194</v>
      </c>
      <c r="C1423" s="26" t="str">
        <f>IFERROR(__xludf.DUMMYFUNCTION("""COMPUTED_VALUE"""),"Emily Burns")</f>
        <v>Emily Burns</v>
      </c>
      <c r="D1423" s="26" t="str">
        <f>IFERROR(__xludf.DUMMYFUNCTION("""COMPUTED_VALUE"""),"Consumer")</f>
        <v>Consumer</v>
      </c>
      <c r="E1423" s="26" t="str">
        <f>IFERROR(__xludf.DUMMYFUNCTION("""COMPUTED_VALUE"""),"South")</f>
        <v>South</v>
      </c>
      <c r="F1423" s="26">
        <f>IFERROR(__xludf.DUMMYFUNCTION("""COMPUTED_VALUE"""),5.16)</f>
        <v>5.16</v>
      </c>
      <c r="G1423" s="26">
        <f>IFERROR(__xludf.DUMMYFUNCTION("""COMPUTED_VALUE"""),3.0)</f>
        <v>3</v>
      </c>
      <c r="H1423" s="26">
        <f>IFERROR(__xludf.DUMMYFUNCTION("""COMPUTED_VALUE"""),0.8385)</f>
        <v>0.8385</v>
      </c>
    </row>
    <row r="1424">
      <c r="A1424" s="26" t="str">
        <f>IFERROR(__xludf.DUMMYFUNCTION("""COMPUTED_VALUE"""),"CA-2015-100888")</f>
        <v>CA-2015-100888</v>
      </c>
      <c r="B1424" s="27">
        <f>IFERROR(__xludf.DUMMYFUNCTION("""COMPUTED_VALUE"""),42100.0)</f>
        <v>42100</v>
      </c>
      <c r="C1424" s="26" t="str">
        <f>IFERROR(__xludf.DUMMYFUNCTION("""COMPUTED_VALUE"""),"Mark Hamilton")</f>
        <v>Mark Hamilton</v>
      </c>
      <c r="D1424" s="26" t="str">
        <f>IFERROR(__xludf.DUMMYFUNCTION("""COMPUTED_VALUE"""),"Consumer")</f>
        <v>Consumer</v>
      </c>
      <c r="E1424" s="26" t="str">
        <f>IFERROR(__xludf.DUMMYFUNCTION("""COMPUTED_VALUE"""),"South")</f>
        <v>South</v>
      </c>
      <c r="F1424" s="26">
        <f>IFERROR(__xludf.DUMMYFUNCTION("""COMPUTED_VALUE"""),47.952)</f>
        <v>47.952</v>
      </c>
      <c r="G1424" s="26">
        <f>IFERROR(__xludf.DUMMYFUNCTION("""COMPUTED_VALUE"""),3.0)</f>
        <v>3</v>
      </c>
      <c r="H1424" s="26">
        <f>IFERROR(__xludf.DUMMYFUNCTION("""COMPUTED_VALUE"""),16.1838)</f>
        <v>16.1838</v>
      </c>
    </row>
    <row r="1425">
      <c r="A1425" s="26" t="str">
        <f>IFERROR(__xludf.DUMMYFUNCTION("""COMPUTED_VALUE"""),"CA-2015-141145")</f>
        <v>CA-2015-141145</v>
      </c>
      <c r="B1425" s="27">
        <f>IFERROR(__xludf.DUMMYFUNCTION("""COMPUTED_VALUE"""),42264.0)</f>
        <v>42264</v>
      </c>
      <c r="C1425" s="26" t="str">
        <f>IFERROR(__xludf.DUMMYFUNCTION("""COMPUTED_VALUE"""),"Denny Blanton")</f>
        <v>Denny Blanton</v>
      </c>
      <c r="D1425" s="26" t="str">
        <f>IFERROR(__xludf.DUMMYFUNCTION("""COMPUTED_VALUE"""),"Consumer")</f>
        <v>Consumer</v>
      </c>
      <c r="E1425" s="26" t="str">
        <f>IFERROR(__xludf.DUMMYFUNCTION("""COMPUTED_VALUE"""),"South")</f>
        <v>South</v>
      </c>
      <c r="F1425" s="26">
        <f>IFERROR(__xludf.DUMMYFUNCTION("""COMPUTED_VALUE"""),87.168)</f>
        <v>87.168</v>
      </c>
      <c r="G1425" s="26">
        <f>IFERROR(__xludf.DUMMYFUNCTION("""COMPUTED_VALUE"""),3.0)</f>
        <v>3</v>
      </c>
      <c r="H1425" s="26">
        <f>IFERROR(__xludf.DUMMYFUNCTION("""COMPUTED_VALUE"""),10.896)</f>
        <v>10.896</v>
      </c>
    </row>
    <row r="1426">
      <c r="A1426" s="26" t="str">
        <f>IFERROR(__xludf.DUMMYFUNCTION("""COMPUTED_VALUE"""),"CA-2015-143532")</f>
        <v>CA-2015-143532</v>
      </c>
      <c r="B1426" s="27">
        <f>IFERROR(__xludf.DUMMYFUNCTION("""COMPUTED_VALUE"""),42082.0)</f>
        <v>42082</v>
      </c>
      <c r="C1426" s="26" t="str">
        <f>IFERROR(__xludf.DUMMYFUNCTION("""COMPUTED_VALUE"""),"Dan Campbell")</f>
        <v>Dan Campbell</v>
      </c>
      <c r="D1426" s="26" t="str">
        <f>IFERROR(__xludf.DUMMYFUNCTION("""COMPUTED_VALUE"""),"Consumer")</f>
        <v>Consumer</v>
      </c>
      <c r="E1426" s="26" t="str">
        <f>IFERROR(__xludf.DUMMYFUNCTION("""COMPUTED_VALUE"""),"South")</f>
        <v>South</v>
      </c>
      <c r="F1426" s="26">
        <f>IFERROR(__xludf.DUMMYFUNCTION("""COMPUTED_VALUE"""),14.496)</f>
        <v>14.496</v>
      </c>
      <c r="G1426" s="26">
        <f>IFERROR(__xludf.DUMMYFUNCTION("""COMPUTED_VALUE"""),3.0)</f>
        <v>3</v>
      </c>
      <c r="H1426" s="26">
        <f>IFERROR(__xludf.DUMMYFUNCTION("""COMPUTED_VALUE"""),4.8924)</f>
        <v>4.8924</v>
      </c>
    </row>
    <row r="1427">
      <c r="A1427" s="26" t="str">
        <f>IFERROR(__xludf.DUMMYFUNCTION("""COMPUTED_VALUE"""),"CA-2015-168459")</f>
        <v>CA-2015-168459</v>
      </c>
      <c r="B1427" s="27">
        <f>IFERROR(__xludf.DUMMYFUNCTION("""COMPUTED_VALUE"""),42330.0)</f>
        <v>42330</v>
      </c>
      <c r="C1427" s="26" t="str">
        <f>IFERROR(__xludf.DUMMYFUNCTION("""COMPUTED_VALUE"""),"Marc Crier")</f>
        <v>Marc Crier</v>
      </c>
      <c r="D1427" s="26" t="str">
        <f>IFERROR(__xludf.DUMMYFUNCTION("""COMPUTED_VALUE"""),"Consumer")</f>
        <v>Consumer</v>
      </c>
      <c r="E1427" s="26" t="str">
        <f>IFERROR(__xludf.DUMMYFUNCTION("""COMPUTED_VALUE"""),"South")</f>
        <v>South</v>
      </c>
      <c r="F1427" s="26">
        <f>IFERROR(__xludf.DUMMYFUNCTION("""COMPUTED_VALUE"""),2.946)</f>
        <v>2.946</v>
      </c>
      <c r="G1427" s="26">
        <f>IFERROR(__xludf.DUMMYFUNCTION("""COMPUTED_VALUE"""),2.0)</f>
        <v>2</v>
      </c>
      <c r="H1427" s="26">
        <f>IFERROR(__xludf.DUMMYFUNCTION("""COMPUTED_VALUE"""),-2.0622)</f>
        <v>-2.0622</v>
      </c>
    </row>
    <row r="1428">
      <c r="A1428" s="26" t="str">
        <f>IFERROR(__xludf.DUMMYFUNCTION("""COMPUTED_VALUE"""),"CA-2015-128083")</f>
        <v>CA-2015-128083</v>
      </c>
      <c r="B1428" s="27">
        <f>IFERROR(__xludf.DUMMYFUNCTION("""COMPUTED_VALUE"""),42075.0)</f>
        <v>42075</v>
      </c>
      <c r="C1428" s="26" t="str">
        <f>IFERROR(__xludf.DUMMYFUNCTION("""COMPUTED_VALUE"""),"Edward Becker")</f>
        <v>Edward Becker</v>
      </c>
      <c r="D1428" s="26" t="str">
        <f>IFERROR(__xludf.DUMMYFUNCTION("""COMPUTED_VALUE"""),"Corporate")</f>
        <v>Corporate</v>
      </c>
      <c r="E1428" s="26" t="str">
        <f>IFERROR(__xludf.DUMMYFUNCTION("""COMPUTED_VALUE"""),"South")</f>
        <v>South</v>
      </c>
      <c r="F1428" s="26">
        <f>IFERROR(__xludf.DUMMYFUNCTION("""COMPUTED_VALUE"""),8.688)</f>
        <v>8.688</v>
      </c>
      <c r="G1428" s="26">
        <f>IFERROR(__xludf.DUMMYFUNCTION("""COMPUTED_VALUE"""),3.0)</f>
        <v>3</v>
      </c>
      <c r="H1428" s="26">
        <f>IFERROR(__xludf.DUMMYFUNCTION("""COMPUTED_VALUE"""),2.9322)</f>
        <v>2.9322</v>
      </c>
    </row>
    <row r="1429">
      <c r="A1429" s="26" t="str">
        <f>IFERROR(__xludf.DUMMYFUNCTION("""COMPUTED_VALUE"""),"CA-2015-104941")</f>
        <v>CA-2015-104941</v>
      </c>
      <c r="B1429" s="27">
        <f>IFERROR(__xludf.DUMMYFUNCTION("""COMPUTED_VALUE"""),42168.0)</f>
        <v>42168</v>
      </c>
      <c r="C1429" s="26" t="str">
        <f>IFERROR(__xludf.DUMMYFUNCTION("""COMPUTED_VALUE"""),"Dave Hallsten")</f>
        <v>Dave Hallsten</v>
      </c>
      <c r="D1429" s="26" t="str">
        <f>IFERROR(__xludf.DUMMYFUNCTION("""COMPUTED_VALUE"""),"Corporate")</f>
        <v>Corporate</v>
      </c>
      <c r="E1429" s="26" t="str">
        <f>IFERROR(__xludf.DUMMYFUNCTION("""COMPUTED_VALUE"""),"South")</f>
        <v>South</v>
      </c>
      <c r="F1429" s="26">
        <f>IFERROR(__xludf.DUMMYFUNCTION("""COMPUTED_VALUE"""),24.78)</f>
        <v>24.78</v>
      </c>
      <c r="G1429" s="26">
        <f>IFERROR(__xludf.DUMMYFUNCTION("""COMPUTED_VALUE"""),6.0)</f>
        <v>6</v>
      </c>
      <c r="H1429" s="26">
        <f>IFERROR(__xludf.DUMMYFUNCTION("""COMPUTED_VALUE"""),6.9384)</f>
        <v>6.9384</v>
      </c>
    </row>
    <row r="1430">
      <c r="A1430" s="26" t="str">
        <f>IFERROR(__xludf.DUMMYFUNCTION("""COMPUTED_VALUE"""),"CA-2015-113628")</f>
        <v>CA-2015-113628</v>
      </c>
      <c r="B1430" s="27">
        <f>IFERROR(__xludf.DUMMYFUNCTION("""COMPUTED_VALUE"""),42320.0)</f>
        <v>42320</v>
      </c>
      <c r="C1430" s="26" t="str">
        <f>IFERROR(__xludf.DUMMYFUNCTION("""COMPUTED_VALUE"""),"Anna Häberlin")</f>
        <v>Anna Häberlin</v>
      </c>
      <c r="D1430" s="26" t="str">
        <f>IFERROR(__xludf.DUMMYFUNCTION("""COMPUTED_VALUE"""),"Corporate")</f>
        <v>Corporate</v>
      </c>
      <c r="E1430" s="26" t="str">
        <f>IFERROR(__xludf.DUMMYFUNCTION("""COMPUTED_VALUE"""),"South")</f>
        <v>South</v>
      </c>
      <c r="F1430" s="26">
        <f>IFERROR(__xludf.DUMMYFUNCTION("""COMPUTED_VALUE"""),11.76)</f>
        <v>11.76</v>
      </c>
      <c r="G1430" s="26">
        <f>IFERROR(__xludf.DUMMYFUNCTION("""COMPUTED_VALUE"""),5.0)</f>
        <v>5</v>
      </c>
      <c r="H1430" s="26">
        <f>IFERROR(__xludf.DUMMYFUNCTION("""COMPUTED_VALUE"""),1.323)</f>
        <v>1.323</v>
      </c>
    </row>
    <row r="1431">
      <c r="A1431" s="26" t="str">
        <f>IFERROR(__xludf.DUMMYFUNCTION("""COMPUTED_VALUE"""),"CA-2015-102582")</f>
        <v>CA-2015-102582</v>
      </c>
      <c r="B1431" s="27">
        <f>IFERROR(__xludf.DUMMYFUNCTION("""COMPUTED_VALUE"""),42262.0)</f>
        <v>42262</v>
      </c>
      <c r="C1431" s="26" t="str">
        <f>IFERROR(__xludf.DUMMYFUNCTION("""COMPUTED_VALUE"""),"Natalie Webber")</f>
        <v>Natalie Webber</v>
      </c>
      <c r="D1431" s="26" t="str">
        <f>IFERROR(__xludf.DUMMYFUNCTION("""COMPUTED_VALUE"""),"Consumer")</f>
        <v>Consumer</v>
      </c>
      <c r="E1431" s="26" t="str">
        <f>IFERROR(__xludf.DUMMYFUNCTION("""COMPUTED_VALUE"""),"South")</f>
        <v>South</v>
      </c>
      <c r="F1431" s="26">
        <f>IFERROR(__xludf.DUMMYFUNCTION("""COMPUTED_VALUE"""),801.96)</f>
        <v>801.96</v>
      </c>
      <c r="G1431" s="26">
        <f>IFERROR(__xludf.DUMMYFUNCTION("""COMPUTED_VALUE"""),2.0)</f>
        <v>2</v>
      </c>
      <c r="H1431" s="26">
        <f>IFERROR(__xludf.DUMMYFUNCTION("""COMPUTED_VALUE"""),200.49)</f>
        <v>200.49</v>
      </c>
    </row>
    <row r="1432">
      <c r="A1432" s="26" t="str">
        <f>IFERROR(__xludf.DUMMYFUNCTION("""COMPUTED_VALUE"""),"US-2015-148817")</f>
        <v>US-2015-148817</v>
      </c>
      <c r="B1432" s="27">
        <f>IFERROR(__xludf.DUMMYFUNCTION("""COMPUTED_VALUE"""),42339.0)</f>
        <v>42339</v>
      </c>
      <c r="C1432" s="26" t="str">
        <f>IFERROR(__xludf.DUMMYFUNCTION("""COMPUTED_VALUE"""),"Keith Dawkins")</f>
        <v>Keith Dawkins</v>
      </c>
      <c r="D1432" s="26" t="str">
        <f>IFERROR(__xludf.DUMMYFUNCTION("""COMPUTED_VALUE"""),"Corporate")</f>
        <v>Corporate</v>
      </c>
      <c r="E1432" s="26" t="str">
        <f>IFERROR(__xludf.DUMMYFUNCTION("""COMPUTED_VALUE"""),"South")</f>
        <v>South</v>
      </c>
      <c r="F1432" s="26">
        <f>IFERROR(__xludf.DUMMYFUNCTION("""COMPUTED_VALUE"""),61.68)</f>
        <v>61.68</v>
      </c>
      <c r="G1432" s="26">
        <f>IFERROR(__xludf.DUMMYFUNCTION("""COMPUTED_VALUE"""),4.0)</f>
        <v>4</v>
      </c>
      <c r="H1432" s="26">
        <f>IFERROR(__xludf.DUMMYFUNCTION("""COMPUTED_VALUE"""),16.6536)</f>
        <v>16.6536</v>
      </c>
    </row>
    <row r="1433">
      <c r="A1433" s="26" t="str">
        <f>IFERROR(__xludf.DUMMYFUNCTION("""COMPUTED_VALUE"""),"CA-2015-161998")</f>
        <v>CA-2015-161998</v>
      </c>
      <c r="B1433" s="27">
        <f>IFERROR(__xludf.DUMMYFUNCTION("""COMPUTED_VALUE"""),42125.0)</f>
        <v>42125</v>
      </c>
      <c r="C1433" s="26" t="str">
        <f>IFERROR(__xludf.DUMMYFUNCTION("""COMPUTED_VALUE"""),"David Bremer")</f>
        <v>David Bremer</v>
      </c>
      <c r="D1433" s="26" t="str">
        <f>IFERROR(__xludf.DUMMYFUNCTION("""COMPUTED_VALUE"""),"Corporate")</f>
        <v>Corporate</v>
      </c>
      <c r="E1433" s="26" t="str">
        <f>IFERROR(__xludf.DUMMYFUNCTION("""COMPUTED_VALUE"""),"South")</f>
        <v>South</v>
      </c>
      <c r="F1433" s="26">
        <f>IFERROR(__xludf.DUMMYFUNCTION("""COMPUTED_VALUE"""),63.552)</f>
        <v>63.552</v>
      </c>
      <c r="G1433" s="26">
        <f>IFERROR(__xludf.DUMMYFUNCTION("""COMPUTED_VALUE"""),3.0)</f>
        <v>3</v>
      </c>
      <c r="H1433" s="26">
        <f>IFERROR(__xludf.DUMMYFUNCTION("""COMPUTED_VALUE"""),14.2992)</f>
        <v>14.2992</v>
      </c>
    </row>
    <row r="1434">
      <c r="A1434" s="26" t="str">
        <f>IFERROR(__xludf.DUMMYFUNCTION("""COMPUTED_VALUE"""),"US-2015-149629")</f>
        <v>US-2015-149629</v>
      </c>
      <c r="B1434" s="27">
        <f>IFERROR(__xludf.DUMMYFUNCTION("""COMPUTED_VALUE"""),42202.0)</f>
        <v>42202</v>
      </c>
      <c r="C1434" s="26" t="str">
        <f>IFERROR(__xludf.DUMMYFUNCTION("""COMPUTED_VALUE"""),"Michael Paige")</f>
        <v>Michael Paige</v>
      </c>
      <c r="D1434" s="26" t="str">
        <f>IFERROR(__xludf.DUMMYFUNCTION("""COMPUTED_VALUE"""),"Corporate")</f>
        <v>Corporate</v>
      </c>
      <c r="E1434" s="26" t="str">
        <f>IFERROR(__xludf.DUMMYFUNCTION("""COMPUTED_VALUE"""),"South")</f>
        <v>South</v>
      </c>
      <c r="F1434" s="26">
        <f>IFERROR(__xludf.DUMMYFUNCTION("""COMPUTED_VALUE"""),231.92)</f>
        <v>231.92</v>
      </c>
      <c r="G1434" s="26">
        <f>IFERROR(__xludf.DUMMYFUNCTION("""COMPUTED_VALUE"""),5.0)</f>
        <v>5</v>
      </c>
      <c r="H1434" s="26">
        <f>IFERROR(__xludf.DUMMYFUNCTION("""COMPUTED_VALUE"""),5.798)</f>
        <v>5.798</v>
      </c>
    </row>
    <row r="1435">
      <c r="A1435" s="26" t="str">
        <f>IFERROR(__xludf.DUMMYFUNCTION("""COMPUTED_VALUE"""),"US-2015-168732")</f>
        <v>US-2015-168732</v>
      </c>
      <c r="B1435" s="27">
        <f>IFERROR(__xludf.DUMMYFUNCTION("""COMPUTED_VALUE"""),42348.0)</f>
        <v>42348</v>
      </c>
      <c r="C1435" s="26" t="str">
        <f>IFERROR(__xludf.DUMMYFUNCTION("""COMPUTED_VALUE"""),"Khloe Miller")</f>
        <v>Khloe Miller</v>
      </c>
      <c r="D1435" s="26" t="str">
        <f>IFERROR(__xludf.DUMMYFUNCTION("""COMPUTED_VALUE"""),"Consumer")</f>
        <v>Consumer</v>
      </c>
      <c r="E1435" s="26" t="str">
        <f>IFERROR(__xludf.DUMMYFUNCTION("""COMPUTED_VALUE"""),"South")</f>
        <v>South</v>
      </c>
      <c r="F1435" s="26">
        <f>IFERROR(__xludf.DUMMYFUNCTION("""COMPUTED_VALUE"""),1.78)</f>
        <v>1.78</v>
      </c>
      <c r="G1435" s="26">
        <f>IFERROR(__xludf.DUMMYFUNCTION("""COMPUTED_VALUE"""),1.0)</f>
        <v>1</v>
      </c>
      <c r="H1435" s="26">
        <f>IFERROR(__xludf.DUMMYFUNCTION("""COMPUTED_VALUE"""),0.4984)</f>
        <v>0.4984</v>
      </c>
    </row>
    <row r="1436">
      <c r="A1436" s="26" t="str">
        <f>IFERROR(__xludf.DUMMYFUNCTION("""COMPUTED_VALUE"""),"CA-2015-165624")</f>
        <v>CA-2015-165624</v>
      </c>
      <c r="B1436" s="27">
        <f>IFERROR(__xludf.DUMMYFUNCTION("""COMPUTED_VALUE"""),42239.0)</f>
        <v>42239</v>
      </c>
      <c r="C1436" s="26" t="str">
        <f>IFERROR(__xludf.DUMMYFUNCTION("""COMPUTED_VALUE"""),"Fred Harton")</f>
        <v>Fred Harton</v>
      </c>
      <c r="D1436" s="26" t="str">
        <f>IFERROR(__xludf.DUMMYFUNCTION("""COMPUTED_VALUE"""),"Consumer")</f>
        <v>Consumer</v>
      </c>
      <c r="E1436" s="26" t="str">
        <f>IFERROR(__xludf.DUMMYFUNCTION("""COMPUTED_VALUE"""),"South")</f>
        <v>South</v>
      </c>
      <c r="F1436" s="26">
        <f>IFERROR(__xludf.DUMMYFUNCTION("""COMPUTED_VALUE"""),542.94)</f>
        <v>542.94</v>
      </c>
      <c r="G1436" s="26">
        <f>IFERROR(__xludf.DUMMYFUNCTION("""COMPUTED_VALUE"""),3.0)</f>
        <v>3</v>
      </c>
      <c r="H1436" s="26">
        <f>IFERROR(__xludf.DUMMYFUNCTION("""COMPUTED_VALUE"""),152.0232)</f>
        <v>152.0232</v>
      </c>
    </row>
    <row r="1437">
      <c r="A1437" s="26" t="str">
        <f>IFERROR(__xludf.DUMMYFUNCTION("""COMPUTED_VALUE"""),"CA-2015-165414")</f>
        <v>CA-2015-165414</v>
      </c>
      <c r="B1437" s="27">
        <f>IFERROR(__xludf.DUMMYFUNCTION("""COMPUTED_VALUE"""),42359.0)</f>
        <v>42359</v>
      </c>
      <c r="C1437" s="26" t="str">
        <f>IFERROR(__xludf.DUMMYFUNCTION("""COMPUTED_VALUE"""),"Lynn Smith")</f>
        <v>Lynn Smith</v>
      </c>
      <c r="D1437" s="26" t="str">
        <f>IFERROR(__xludf.DUMMYFUNCTION("""COMPUTED_VALUE"""),"Consumer")</f>
        <v>Consumer</v>
      </c>
      <c r="E1437" s="26" t="str">
        <f>IFERROR(__xludf.DUMMYFUNCTION("""COMPUTED_VALUE"""),"South")</f>
        <v>South</v>
      </c>
      <c r="F1437" s="26">
        <f>IFERROR(__xludf.DUMMYFUNCTION("""COMPUTED_VALUE"""),47.976)</f>
        <v>47.976</v>
      </c>
      <c r="G1437" s="26">
        <f>IFERROR(__xludf.DUMMYFUNCTION("""COMPUTED_VALUE"""),3.0)</f>
        <v>3</v>
      </c>
      <c r="H1437" s="26">
        <f>IFERROR(__xludf.DUMMYFUNCTION("""COMPUTED_VALUE"""),4.7976)</f>
        <v>4.7976</v>
      </c>
    </row>
    <row r="1438">
      <c r="A1438" s="26" t="str">
        <f>IFERROR(__xludf.DUMMYFUNCTION("""COMPUTED_VALUE"""),"CA-2015-102491")</f>
        <v>CA-2015-102491</v>
      </c>
      <c r="B1438" s="27">
        <f>IFERROR(__xludf.DUMMYFUNCTION("""COMPUTED_VALUE"""),42240.0)</f>
        <v>42240</v>
      </c>
      <c r="C1438" s="26" t="str">
        <f>IFERROR(__xludf.DUMMYFUNCTION("""COMPUTED_VALUE"""),"Katrina Willman")</f>
        <v>Katrina Willman</v>
      </c>
      <c r="D1438" s="26" t="str">
        <f>IFERROR(__xludf.DUMMYFUNCTION("""COMPUTED_VALUE"""),"Consumer")</f>
        <v>Consumer</v>
      </c>
      <c r="E1438" s="26" t="str">
        <f>IFERROR(__xludf.DUMMYFUNCTION("""COMPUTED_VALUE"""),"South")</f>
        <v>South</v>
      </c>
      <c r="F1438" s="26">
        <f>IFERROR(__xludf.DUMMYFUNCTION("""COMPUTED_VALUE"""),3080.0)</f>
        <v>3080</v>
      </c>
      <c r="G1438" s="26">
        <f>IFERROR(__xludf.DUMMYFUNCTION("""COMPUTED_VALUE"""),7.0)</f>
        <v>7</v>
      </c>
      <c r="H1438" s="26">
        <f>IFERROR(__xludf.DUMMYFUNCTION("""COMPUTED_VALUE"""),1416.8)</f>
        <v>1416.8</v>
      </c>
    </row>
    <row r="1439">
      <c r="A1439" s="26" t="str">
        <f>IFERROR(__xludf.DUMMYFUNCTION("""COMPUTED_VALUE"""),"CA-2015-111703")</f>
        <v>CA-2015-111703</v>
      </c>
      <c r="B1439" s="27">
        <f>IFERROR(__xludf.DUMMYFUNCTION("""COMPUTED_VALUE"""),42187.0)</f>
        <v>42187</v>
      </c>
      <c r="C1439" s="26" t="str">
        <f>IFERROR(__xludf.DUMMYFUNCTION("""COMPUTED_VALUE"""),"Karl Braun")</f>
        <v>Karl Braun</v>
      </c>
      <c r="D1439" s="26" t="str">
        <f>IFERROR(__xludf.DUMMYFUNCTION("""COMPUTED_VALUE"""),"Consumer")</f>
        <v>Consumer</v>
      </c>
      <c r="E1439" s="26" t="str">
        <f>IFERROR(__xludf.DUMMYFUNCTION("""COMPUTED_VALUE"""),"South")</f>
        <v>South</v>
      </c>
      <c r="F1439" s="26">
        <f>IFERROR(__xludf.DUMMYFUNCTION("""COMPUTED_VALUE"""),11.952)</f>
        <v>11.952</v>
      </c>
      <c r="G1439" s="26">
        <f>IFERROR(__xludf.DUMMYFUNCTION("""COMPUTED_VALUE"""),3.0)</f>
        <v>3</v>
      </c>
      <c r="H1439" s="26">
        <f>IFERROR(__xludf.DUMMYFUNCTION("""COMPUTED_VALUE"""),4.0338)</f>
        <v>4.0338</v>
      </c>
    </row>
    <row r="1440">
      <c r="A1440" s="26" t="str">
        <f>IFERROR(__xludf.DUMMYFUNCTION("""COMPUTED_VALUE"""),"CA-2015-155068")</f>
        <v>CA-2015-155068</v>
      </c>
      <c r="B1440" s="27">
        <f>IFERROR(__xludf.DUMMYFUNCTION("""COMPUTED_VALUE"""),42300.0)</f>
        <v>42300</v>
      </c>
      <c r="C1440" s="26" t="str">
        <f>IFERROR(__xludf.DUMMYFUNCTION("""COMPUTED_VALUE"""),"Ralph Arnett")</f>
        <v>Ralph Arnett</v>
      </c>
      <c r="D1440" s="26" t="str">
        <f>IFERROR(__xludf.DUMMYFUNCTION("""COMPUTED_VALUE"""),"Consumer")</f>
        <v>Consumer</v>
      </c>
      <c r="E1440" s="26" t="str">
        <f>IFERROR(__xludf.DUMMYFUNCTION("""COMPUTED_VALUE"""),"South")</f>
        <v>South</v>
      </c>
      <c r="F1440" s="26">
        <f>IFERROR(__xludf.DUMMYFUNCTION("""COMPUTED_VALUE"""),55.944)</f>
        <v>55.944</v>
      </c>
      <c r="G1440" s="26">
        <f>IFERROR(__xludf.DUMMYFUNCTION("""COMPUTED_VALUE"""),7.0)</f>
        <v>7</v>
      </c>
      <c r="H1440" s="26">
        <f>IFERROR(__xludf.DUMMYFUNCTION("""COMPUTED_VALUE"""),-13.2867)</f>
        <v>-13.2867</v>
      </c>
    </row>
    <row r="1441">
      <c r="A1441" s="26" t="str">
        <f>IFERROR(__xludf.DUMMYFUNCTION("""COMPUTED_VALUE"""),"CA-2015-166975")</f>
        <v>CA-2015-166975</v>
      </c>
      <c r="B1441" s="27">
        <f>IFERROR(__xludf.DUMMYFUNCTION("""COMPUTED_VALUE"""),42334.0)</f>
        <v>42334</v>
      </c>
      <c r="C1441" s="26" t="str">
        <f>IFERROR(__xludf.DUMMYFUNCTION("""COMPUTED_VALUE"""),"Stefanie Holloman")</f>
        <v>Stefanie Holloman</v>
      </c>
      <c r="D1441" s="26" t="str">
        <f>IFERROR(__xludf.DUMMYFUNCTION("""COMPUTED_VALUE"""),"Corporate")</f>
        <v>Corporate</v>
      </c>
      <c r="E1441" s="26" t="str">
        <f>IFERROR(__xludf.DUMMYFUNCTION("""COMPUTED_VALUE"""),"South")</f>
        <v>South</v>
      </c>
      <c r="F1441" s="26">
        <f>IFERROR(__xludf.DUMMYFUNCTION("""COMPUTED_VALUE"""),692.472)</f>
        <v>692.472</v>
      </c>
      <c r="G1441" s="26">
        <f>IFERROR(__xludf.DUMMYFUNCTION("""COMPUTED_VALUE"""),11.0)</f>
        <v>11</v>
      </c>
      <c r="H1441" s="26">
        <f>IFERROR(__xludf.DUMMYFUNCTION("""COMPUTED_VALUE"""),190.4298)</f>
        <v>190.4298</v>
      </c>
    </row>
    <row r="1442">
      <c r="A1442" s="26" t="str">
        <f>IFERROR(__xludf.DUMMYFUNCTION("""COMPUTED_VALUE"""),"CA-2015-112375")</f>
        <v>CA-2015-112375</v>
      </c>
      <c r="B1442" s="27">
        <f>IFERROR(__xludf.DUMMYFUNCTION("""COMPUTED_VALUE"""),42359.0)</f>
        <v>42359</v>
      </c>
      <c r="C1442" s="26" t="str">
        <f>IFERROR(__xludf.DUMMYFUNCTION("""COMPUTED_VALUE"""),"Roger Demir")</f>
        <v>Roger Demir</v>
      </c>
      <c r="D1442" s="26" t="str">
        <f>IFERROR(__xludf.DUMMYFUNCTION("""COMPUTED_VALUE"""),"Consumer")</f>
        <v>Consumer</v>
      </c>
      <c r="E1442" s="26" t="str">
        <f>IFERROR(__xludf.DUMMYFUNCTION("""COMPUTED_VALUE"""),"South")</f>
        <v>South</v>
      </c>
      <c r="F1442" s="26">
        <f>IFERROR(__xludf.DUMMYFUNCTION("""COMPUTED_VALUE"""),50.88)</f>
        <v>50.88</v>
      </c>
      <c r="G1442" s="26">
        <f>IFERROR(__xludf.DUMMYFUNCTION("""COMPUTED_VALUE"""),6.0)</f>
        <v>6</v>
      </c>
      <c r="H1442" s="26">
        <f>IFERROR(__xludf.DUMMYFUNCTION("""COMPUTED_VALUE"""),14.628)</f>
        <v>14.628</v>
      </c>
    </row>
    <row r="1443">
      <c r="A1443" s="26" t="str">
        <f>IFERROR(__xludf.DUMMYFUNCTION("""COMPUTED_VALUE"""),"CA-2015-155600")</f>
        <v>CA-2015-155600</v>
      </c>
      <c r="B1443" s="27">
        <f>IFERROR(__xludf.DUMMYFUNCTION("""COMPUTED_VALUE"""),42342.0)</f>
        <v>42342</v>
      </c>
      <c r="C1443" s="26" t="str">
        <f>IFERROR(__xludf.DUMMYFUNCTION("""COMPUTED_VALUE"""),"Rose O'Brian")</f>
        <v>Rose O'Brian</v>
      </c>
      <c r="D1443" s="26" t="str">
        <f>IFERROR(__xludf.DUMMYFUNCTION("""COMPUTED_VALUE"""),"Consumer")</f>
        <v>Consumer</v>
      </c>
      <c r="E1443" s="26" t="str">
        <f>IFERROR(__xludf.DUMMYFUNCTION("""COMPUTED_VALUE"""),"South")</f>
        <v>South</v>
      </c>
      <c r="F1443" s="26">
        <f>IFERROR(__xludf.DUMMYFUNCTION("""COMPUTED_VALUE"""),1598.058)</f>
        <v>1598.058</v>
      </c>
      <c r="G1443" s="26">
        <f>IFERROR(__xludf.DUMMYFUNCTION("""COMPUTED_VALUE"""),7.0)</f>
        <v>7</v>
      </c>
      <c r="H1443" s="26">
        <f>IFERROR(__xludf.DUMMYFUNCTION("""COMPUTED_VALUE"""),-1065.372)</f>
        <v>-1065.372</v>
      </c>
    </row>
    <row r="1444">
      <c r="A1444" s="26" t="str">
        <f>IFERROR(__xludf.DUMMYFUNCTION("""COMPUTED_VALUE"""),"CA-2015-140830")</f>
        <v>CA-2015-140830</v>
      </c>
      <c r="B1444" s="27">
        <f>IFERROR(__xludf.DUMMYFUNCTION("""COMPUTED_VALUE"""),42338.0)</f>
        <v>42338</v>
      </c>
      <c r="C1444" s="26" t="str">
        <f>IFERROR(__xludf.DUMMYFUNCTION("""COMPUTED_VALUE"""),"Paul Stevenson")</f>
        <v>Paul Stevenson</v>
      </c>
      <c r="D1444" s="26" t="str">
        <f>IFERROR(__xludf.DUMMYFUNCTION("""COMPUTED_VALUE"""),"Home Office")</f>
        <v>Home Office</v>
      </c>
      <c r="E1444" s="26" t="str">
        <f>IFERROR(__xludf.DUMMYFUNCTION("""COMPUTED_VALUE"""),"South")</f>
        <v>South</v>
      </c>
      <c r="F1444" s="26">
        <f>IFERROR(__xludf.DUMMYFUNCTION("""COMPUTED_VALUE"""),17.48)</f>
        <v>17.48</v>
      </c>
      <c r="G1444" s="26">
        <f>IFERROR(__xludf.DUMMYFUNCTION("""COMPUTED_VALUE"""),2.0)</f>
        <v>2</v>
      </c>
      <c r="H1444" s="26">
        <f>IFERROR(__xludf.DUMMYFUNCTION("""COMPUTED_VALUE"""),8.2156)</f>
        <v>8.2156</v>
      </c>
    </row>
    <row r="1445">
      <c r="A1445" s="26" t="str">
        <f>IFERROR(__xludf.DUMMYFUNCTION("""COMPUTED_VALUE"""),"CA-2015-130218")</f>
        <v>CA-2015-130218</v>
      </c>
      <c r="B1445" s="27">
        <f>IFERROR(__xludf.DUMMYFUNCTION("""COMPUTED_VALUE"""),42086.0)</f>
        <v>42086</v>
      </c>
      <c r="C1445" s="26" t="str">
        <f>IFERROR(__xludf.DUMMYFUNCTION("""COMPUTED_VALUE"""),"Sheri Gordon")</f>
        <v>Sheri Gordon</v>
      </c>
      <c r="D1445" s="26" t="str">
        <f>IFERROR(__xludf.DUMMYFUNCTION("""COMPUTED_VALUE"""),"Consumer")</f>
        <v>Consumer</v>
      </c>
      <c r="E1445" s="26" t="str">
        <f>IFERROR(__xludf.DUMMYFUNCTION("""COMPUTED_VALUE"""),"South")</f>
        <v>South</v>
      </c>
      <c r="F1445" s="26">
        <f>IFERROR(__xludf.DUMMYFUNCTION("""COMPUTED_VALUE"""),31.56)</f>
        <v>31.56</v>
      </c>
      <c r="G1445" s="26">
        <f>IFERROR(__xludf.DUMMYFUNCTION("""COMPUTED_VALUE"""),4.0)</f>
        <v>4</v>
      </c>
      <c r="H1445" s="26">
        <f>IFERROR(__xludf.DUMMYFUNCTION("""COMPUTED_VALUE"""),14.202)</f>
        <v>14.202</v>
      </c>
    </row>
    <row r="1446">
      <c r="A1446" s="26" t="str">
        <f>IFERROR(__xludf.DUMMYFUNCTION("""COMPUTED_VALUE"""),"CA-2015-110947")</f>
        <v>CA-2015-110947</v>
      </c>
      <c r="B1446" s="27">
        <f>IFERROR(__xludf.DUMMYFUNCTION("""COMPUTED_VALUE"""),42164.0)</f>
        <v>42164</v>
      </c>
      <c r="C1446" s="26" t="str">
        <f>IFERROR(__xludf.DUMMYFUNCTION("""COMPUTED_VALUE"""),"Anthony Garverick")</f>
        <v>Anthony Garverick</v>
      </c>
      <c r="D1446" s="26" t="str">
        <f>IFERROR(__xludf.DUMMYFUNCTION("""COMPUTED_VALUE"""),"Home Office")</f>
        <v>Home Office</v>
      </c>
      <c r="E1446" s="26" t="str">
        <f>IFERROR(__xludf.DUMMYFUNCTION("""COMPUTED_VALUE"""),"South")</f>
        <v>South</v>
      </c>
      <c r="F1446" s="26">
        <f>IFERROR(__xludf.DUMMYFUNCTION("""COMPUTED_VALUE"""),113.1)</f>
        <v>113.1</v>
      </c>
      <c r="G1446" s="26">
        <f>IFERROR(__xludf.DUMMYFUNCTION("""COMPUTED_VALUE"""),3.0)</f>
        <v>3</v>
      </c>
      <c r="H1446" s="26">
        <f>IFERROR(__xludf.DUMMYFUNCTION("""COMPUTED_VALUE"""),56.55)</f>
        <v>56.55</v>
      </c>
    </row>
    <row r="1447">
      <c r="A1447" s="26" t="str">
        <f>IFERROR(__xludf.DUMMYFUNCTION("""COMPUTED_VALUE"""),"CA-2015-164427")</f>
        <v>CA-2015-164427</v>
      </c>
      <c r="B1447" s="27">
        <f>IFERROR(__xludf.DUMMYFUNCTION("""COMPUTED_VALUE"""),42216.0)</f>
        <v>42216</v>
      </c>
      <c r="C1447" s="26" t="str">
        <f>IFERROR(__xludf.DUMMYFUNCTION("""COMPUTED_VALUE"""),"Allen Rosenblatt")</f>
        <v>Allen Rosenblatt</v>
      </c>
      <c r="D1447" s="26" t="str">
        <f>IFERROR(__xludf.DUMMYFUNCTION("""COMPUTED_VALUE"""),"Corporate")</f>
        <v>Corporate</v>
      </c>
      <c r="E1447" s="26" t="str">
        <f>IFERROR(__xludf.DUMMYFUNCTION("""COMPUTED_VALUE"""),"South")</f>
        <v>South</v>
      </c>
      <c r="F1447" s="26">
        <f>IFERROR(__xludf.DUMMYFUNCTION("""COMPUTED_VALUE"""),239.7)</f>
        <v>239.7</v>
      </c>
      <c r="G1447" s="26">
        <f>IFERROR(__xludf.DUMMYFUNCTION("""COMPUTED_VALUE"""),6.0)</f>
        <v>6</v>
      </c>
      <c r="H1447" s="26">
        <f>IFERROR(__xludf.DUMMYFUNCTION("""COMPUTED_VALUE"""),105.468)</f>
        <v>105.468</v>
      </c>
    </row>
    <row r="1448">
      <c r="A1448" s="26" t="str">
        <f>IFERROR(__xludf.DUMMYFUNCTION("""COMPUTED_VALUE"""),"US-2015-113327")</f>
        <v>US-2015-113327</v>
      </c>
      <c r="B1448" s="27">
        <f>IFERROR(__xludf.DUMMYFUNCTION("""COMPUTED_VALUE"""),42150.0)</f>
        <v>42150</v>
      </c>
      <c r="C1448" s="26" t="str">
        <f>IFERROR(__xludf.DUMMYFUNCTION("""COMPUTED_VALUE"""),"Ben Ferrer")</f>
        <v>Ben Ferrer</v>
      </c>
      <c r="D1448" s="26" t="str">
        <f>IFERROR(__xludf.DUMMYFUNCTION("""COMPUTED_VALUE"""),"Home Office")</f>
        <v>Home Office</v>
      </c>
      <c r="E1448" s="26" t="str">
        <f>IFERROR(__xludf.DUMMYFUNCTION("""COMPUTED_VALUE"""),"South")</f>
        <v>South</v>
      </c>
      <c r="F1448" s="26">
        <f>IFERROR(__xludf.DUMMYFUNCTION("""COMPUTED_VALUE"""),18.272)</f>
        <v>18.272</v>
      </c>
      <c r="G1448" s="26">
        <f>IFERROR(__xludf.DUMMYFUNCTION("""COMPUTED_VALUE"""),1.0)</f>
        <v>1</v>
      </c>
      <c r="H1448" s="26">
        <f>IFERROR(__xludf.DUMMYFUNCTION("""COMPUTED_VALUE"""),5.9384)</f>
        <v>5.9384</v>
      </c>
    </row>
    <row r="1449">
      <c r="A1449" s="26" t="str">
        <f>IFERROR(__xludf.DUMMYFUNCTION("""COMPUTED_VALUE"""),"CA-2015-120516")</f>
        <v>CA-2015-120516</v>
      </c>
      <c r="B1449" s="27">
        <f>IFERROR(__xludf.DUMMYFUNCTION("""COMPUTED_VALUE"""),42229.0)</f>
        <v>42229</v>
      </c>
      <c r="C1449" s="26" t="str">
        <f>IFERROR(__xludf.DUMMYFUNCTION("""COMPUTED_VALUE"""),"Clytie Kelty")</f>
        <v>Clytie Kelty</v>
      </c>
      <c r="D1449" s="26" t="str">
        <f>IFERROR(__xludf.DUMMYFUNCTION("""COMPUTED_VALUE"""),"Consumer")</f>
        <v>Consumer</v>
      </c>
      <c r="E1449" s="26" t="str">
        <f>IFERROR(__xludf.DUMMYFUNCTION("""COMPUTED_VALUE"""),"South")</f>
        <v>South</v>
      </c>
      <c r="F1449" s="26">
        <f>IFERROR(__xludf.DUMMYFUNCTION("""COMPUTED_VALUE"""),5.64)</f>
        <v>5.64</v>
      </c>
      <c r="G1449" s="26">
        <f>IFERROR(__xludf.DUMMYFUNCTION("""COMPUTED_VALUE"""),3.0)</f>
        <v>3</v>
      </c>
      <c r="H1449" s="26">
        <f>IFERROR(__xludf.DUMMYFUNCTION("""COMPUTED_VALUE"""),2.7072)</f>
        <v>2.7072</v>
      </c>
    </row>
    <row r="1450">
      <c r="A1450" s="26" t="str">
        <f>IFERROR(__xludf.DUMMYFUNCTION("""COMPUTED_VALUE"""),"CA-2015-109708")</f>
        <v>CA-2015-109708</v>
      </c>
      <c r="B1450" s="27">
        <f>IFERROR(__xludf.DUMMYFUNCTION("""COMPUTED_VALUE"""),42149.0)</f>
        <v>42149</v>
      </c>
      <c r="C1450" s="26" t="str">
        <f>IFERROR(__xludf.DUMMYFUNCTION("""COMPUTED_VALUE"""),"Craig Yedwab")</f>
        <v>Craig Yedwab</v>
      </c>
      <c r="D1450" s="26" t="str">
        <f>IFERROR(__xludf.DUMMYFUNCTION("""COMPUTED_VALUE"""),"Corporate")</f>
        <v>Corporate</v>
      </c>
      <c r="E1450" s="26" t="str">
        <f>IFERROR(__xludf.DUMMYFUNCTION("""COMPUTED_VALUE"""),"South")</f>
        <v>South</v>
      </c>
      <c r="F1450" s="26">
        <f>IFERROR(__xludf.DUMMYFUNCTION("""COMPUTED_VALUE"""),467.04)</f>
        <v>467.04</v>
      </c>
      <c r="G1450" s="26">
        <f>IFERROR(__xludf.DUMMYFUNCTION("""COMPUTED_VALUE"""),4.0)</f>
        <v>4</v>
      </c>
      <c r="H1450" s="26">
        <f>IFERROR(__xludf.DUMMYFUNCTION("""COMPUTED_VALUE"""),58.38)</f>
        <v>58.38</v>
      </c>
    </row>
    <row r="1451">
      <c r="A1451" s="26" t="str">
        <f>IFERROR(__xludf.DUMMYFUNCTION("""COMPUTED_VALUE"""),"CA-2015-142202")</f>
        <v>CA-2015-142202</v>
      </c>
      <c r="B1451" s="27">
        <f>IFERROR(__xludf.DUMMYFUNCTION("""COMPUTED_VALUE"""),42265.0)</f>
        <v>42265</v>
      </c>
      <c r="C1451" s="26" t="str">
        <f>IFERROR(__xludf.DUMMYFUNCTION("""COMPUTED_VALUE"""),"Justin Ritter")</f>
        <v>Justin Ritter</v>
      </c>
      <c r="D1451" s="26" t="str">
        <f>IFERROR(__xludf.DUMMYFUNCTION("""COMPUTED_VALUE"""),"Corporate")</f>
        <v>Corporate</v>
      </c>
      <c r="E1451" s="26" t="str">
        <f>IFERROR(__xludf.DUMMYFUNCTION("""COMPUTED_VALUE"""),"South")</f>
        <v>South</v>
      </c>
      <c r="F1451" s="26">
        <f>IFERROR(__xludf.DUMMYFUNCTION("""COMPUTED_VALUE"""),717.12)</f>
        <v>717.12</v>
      </c>
      <c r="G1451" s="26">
        <f>IFERROR(__xludf.DUMMYFUNCTION("""COMPUTED_VALUE"""),9.0)</f>
        <v>9</v>
      </c>
      <c r="H1451" s="26">
        <f>IFERROR(__xludf.DUMMYFUNCTION("""COMPUTED_VALUE"""),152.388)</f>
        <v>152.388</v>
      </c>
    </row>
    <row r="1452">
      <c r="A1452" s="26" t="str">
        <f>IFERROR(__xludf.DUMMYFUNCTION("""COMPUTED_VALUE"""),"CA-2015-160696")</f>
        <v>CA-2015-160696</v>
      </c>
      <c r="B1452" s="27">
        <f>IFERROR(__xludf.DUMMYFUNCTION("""COMPUTED_VALUE"""),42253.0)</f>
        <v>42253</v>
      </c>
      <c r="C1452" s="26" t="str">
        <f>IFERROR(__xludf.DUMMYFUNCTION("""COMPUTED_VALUE"""),"Cyma Kinney")</f>
        <v>Cyma Kinney</v>
      </c>
      <c r="D1452" s="26" t="str">
        <f>IFERROR(__xludf.DUMMYFUNCTION("""COMPUTED_VALUE"""),"Corporate")</f>
        <v>Corporate</v>
      </c>
      <c r="E1452" s="26" t="str">
        <f>IFERROR(__xludf.DUMMYFUNCTION("""COMPUTED_VALUE"""),"South")</f>
        <v>South</v>
      </c>
      <c r="F1452" s="26">
        <f>IFERROR(__xludf.DUMMYFUNCTION("""COMPUTED_VALUE"""),7.24)</f>
        <v>7.24</v>
      </c>
      <c r="G1452" s="26">
        <f>IFERROR(__xludf.DUMMYFUNCTION("""COMPUTED_VALUE"""),5.0)</f>
        <v>5</v>
      </c>
      <c r="H1452" s="26">
        <f>IFERROR(__xludf.DUMMYFUNCTION("""COMPUTED_VALUE"""),1.1765)</f>
        <v>1.1765</v>
      </c>
    </row>
    <row r="1453">
      <c r="A1453" s="26" t="str">
        <f>IFERROR(__xludf.DUMMYFUNCTION("""COMPUTED_VALUE"""),"CA-2015-153038")</f>
        <v>CA-2015-153038</v>
      </c>
      <c r="B1453" s="27">
        <f>IFERROR(__xludf.DUMMYFUNCTION("""COMPUTED_VALUE"""),42356.0)</f>
        <v>42356</v>
      </c>
      <c r="C1453" s="26" t="str">
        <f>IFERROR(__xludf.DUMMYFUNCTION("""COMPUTED_VALUE"""),"Robert Barroso")</f>
        <v>Robert Barroso</v>
      </c>
      <c r="D1453" s="26" t="str">
        <f>IFERROR(__xludf.DUMMYFUNCTION("""COMPUTED_VALUE"""),"Corporate")</f>
        <v>Corporate</v>
      </c>
      <c r="E1453" s="26" t="str">
        <f>IFERROR(__xludf.DUMMYFUNCTION("""COMPUTED_VALUE"""),"South")</f>
        <v>South</v>
      </c>
      <c r="F1453" s="26">
        <f>IFERROR(__xludf.DUMMYFUNCTION("""COMPUTED_VALUE"""),55.936)</f>
        <v>55.936</v>
      </c>
      <c r="G1453" s="26">
        <f>IFERROR(__xludf.DUMMYFUNCTION("""COMPUTED_VALUE"""),8.0)</f>
        <v>8</v>
      </c>
      <c r="H1453" s="26">
        <f>IFERROR(__xludf.DUMMYFUNCTION("""COMPUTED_VALUE"""),18.8784)</f>
        <v>18.8784</v>
      </c>
    </row>
    <row r="1454">
      <c r="A1454" s="26" t="str">
        <f>IFERROR(__xludf.DUMMYFUNCTION("""COMPUTED_VALUE"""),"CA-2015-147102")</f>
        <v>CA-2015-147102</v>
      </c>
      <c r="B1454" s="27">
        <f>IFERROR(__xludf.DUMMYFUNCTION("""COMPUTED_VALUE"""),42266.0)</f>
        <v>42266</v>
      </c>
      <c r="C1454" s="26" t="str">
        <f>IFERROR(__xludf.DUMMYFUNCTION("""COMPUTED_VALUE"""),"Nicole Hansen")</f>
        <v>Nicole Hansen</v>
      </c>
      <c r="D1454" s="26" t="str">
        <f>IFERROR(__xludf.DUMMYFUNCTION("""COMPUTED_VALUE"""),"Corporate")</f>
        <v>Corporate</v>
      </c>
      <c r="E1454" s="26" t="str">
        <f>IFERROR(__xludf.DUMMYFUNCTION("""COMPUTED_VALUE"""),"South")</f>
        <v>South</v>
      </c>
      <c r="F1454" s="26">
        <f>IFERROR(__xludf.DUMMYFUNCTION("""COMPUTED_VALUE"""),66.36)</f>
        <v>66.36</v>
      </c>
      <c r="G1454" s="26">
        <f>IFERROR(__xludf.DUMMYFUNCTION("""COMPUTED_VALUE"""),4.0)</f>
        <v>4</v>
      </c>
      <c r="H1454" s="26">
        <f>IFERROR(__xludf.DUMMYFUNCTION("""COMPUTED_VALUE"""),23.226)</f>
        <v>23.226</v>
      </c>
    </row>
    <row r="1455">
      <c r="A1455" s="26" t="str">
        <f>IFERROR(__xludf.DUMMYFUNCTION("""COMPUTED_VALUE"""),"CA-2015-123330")</f>
        <v>CA-2015-123330</v>
      </c>
      <c r="B1455" s="27">
        <f>IFERROR(__xludf.DUMMYFUNCTION("""COMPUTED_VALUE"""),42176.0)</f>
        <v>42176</v>
      </c>
      <c r="C1455" s="26" t="str">
        <f>IFERROR(__xludf.DUMMYFUNCTION("""COMPUTED_VALUE"""),"Emily Phan")</f>
        <v>Emily Phan</v>
      </c>
      <c r="D1455" s="26" t="str">
        <f>IFERROR(__xludf.DUMMYFUNCTION("""COMPUTED_VALUE"""),"Consumer")</f>
        <v>Consumer</v>
      </c>
      <c r="E1455" s="26" t="str">
        <f>IFERROR(__xludf.DUMMYFUNCTION("""COMPUTED_VALUE"""),"South")</f>
        <v>South</v>
      </c>
      <c r="F1455" s="26">
        <f>IFERROR(__xludf.DUMMYFUNCTION("""COMPUTED_VALUE"""),107.976)</f>
        <v>107.976</v>
      </c>
      <c r="G1455" s="26">
        <f>IFERROR(__xludf.DUMMYFUNCTION("""COMPUTED_VALUE"""),3.0)</f>
        <v>3</v>
      </c>
      <c r="H1455" s="26">
        <f>IFERROR(__xludf.DUMMYFUNCTION("""COMPUTED_VALUE"""),37.7916)</f>
        <v>37.7916</v>
      </c>
    </row>
    <row r="1456">
      <c r="A1456" s="26" t="str">
        <f>IFERROR(__xludf.DUMMYFUNCTION("""COMPUTED_VALUE"""),"CA-2015-134719")</f>
        <v>CA-2015-134719</v>
      </c>
      <c r="B1456" s="27">
        <f>IFERROR(__xludf.DUMMYFUNCTION("""COMPUTED_VALUE"""),42287.0)</f>
        <v>42287</v>
      </c>
      <c r="C1456" s="26" t="str">
        <f>IFERROR(__xludf.DUMMYFUNCTION("""COMPUTED_VALUE"""),"John Dryer")</f>
        <v>John Dryer</v>
      </c>
      <c r="D1456" s="26" t="str">
        <f>IFERROR(__xludf.DUMMYFUNCTION("""COMPUTED_VALUE"""),"Consumer")</f>
        <v>Consumer</v>
      </c>
      <c r="E1456" s="26" t="str">
        <f>IFERROR(__xludf.DUMMYFUNCTION("""COMPUTED_VALUE"""),"South")</f>
        <v>South</v>
      </c>
      <c r="F1456" s="26">
        <f>IFERROR(__xludf.DUMMYFUNCTION("""COMPUTED_VALUE"""),1801.632)</f>
        <v>1801.632</v>
      </c>
      <c r="G1456" s="26">
        <f>IFERROR(__xludf.DUMMYFUNCTION("""COMPUTED_VALUE"""),6.0)</f>
        <v>6</v>
      </c>
      <c r="H1456" s="26">
        <f>IFERROR(__xludf.DUMMYFUNCTION("""COMPUTED_VALUE"""),-337.806)</f>
        <v>-337.806</v>
      </c>
    </row>
    <row r="1457">
      <c r="A1457" s="26" t="str">
        <f>IFERROR(__xludf.DUMMYFUNCTION("""COMPUTED_VALUE"""),"CA-2015-132318")</f>
        <v>CA-2015-132318</v>
      </c>
      <c r="B1457" s="27">
        <f>IFERROR(__xludf.DUMMYFUNCTION("""COMPUTED_VALUE"""),42307.0)</f>
        <v>42307</v>
      </c>
      <c r="C1457" s="26" t="str">
        <f>IFERROR(__xludf.DUMMYFUNCTION("""COMPUTED_VALUE"""),"Thomas Thornton")</f>
        <v>Thomas Thornton</v>
      </c>
      <c r="D1457" s="26" t="str">
        <f>IFERROR(__xludf.DUMMYFUNCTION("""COMPUTED_VALUE"""),"Consumer")</f>
        <v>Consumer</v>
      </c>
      <c r="E1457" s="26" t="str">
        <f>IFERROR(__xludf.DUMMYFUNCTION("""COMPUTED_VALUE"""),"South")</f>
        <v>South</v>
      </c>
      <c r="F1457" s="26">
        <f>IFERROR(__xludf.DUMMYFUNCTION("""COMPUTED_VALUE"""),182.91)</f>
        <v>182.91</v>
      </c>
      <c r="G1457" s="26">
        <f>IFERROR(__xludf.DUMMYFUNCTION("""COMPUTED_VALUE"""),3.0)</f>
        <v>3</v>
      </c>
      <c r="H1457" s="26">
        <f>IFERROR(__xludf.DUMMYFUNCTION("""COMPUTED_VALUE"""),53.0439)</f>
        <v>53.0439</v>
      </c>
    </row>
    <row r="1458">
      <c r="A1458" s="26" t="str">
        <f>IFERROR(__xludf.DUMMYFUNCTION("""COMPUTED_VALUE"""),"CA-2015-137106")</f>
        <v>CA-2015-137106</v>
      </c>
      <c r="B1458" s="27">
        <f>IFERROR(__xludf.DUMMYFUNCTION("""COMPUTED_VALUE"""),42094.0)</f>
        <v>42094</v>
      </c>
      <c r="C1458" s="26" t="str">
        <f>IFERROR(__xludf.DUMMYFUNCTION("""COMPUTED_VALUE"""),"Scott Cohen")</f>
        <v>Scott Cohen</v>
      </c>
      <c r="D1458" s="26" t="str">
        <f>IFERROR(__xludf.DUMMYFUNCTION("""COMPUTED_VALUE"""),"Corporate")</f>
        <v>Corporate</v>
      </c>
      <c r="E1458" s="26" t="str">
        <f>IFERROR(__xludf.DUMMYFUNCTION("""COMPUTED_VALUE"""),"South")</f>
        <v>South</v>
      </c>
      <c r="F1458" s="26">
        <f>IFERROR(__xludf.DUMMYFUNCTION("""COMPUTED_VALUE"""),79.96)</f>
        <v>79.96</v>
      </c>
      <c r="G1458" s="26">
        <f>IFERROR(__xludf.DUMMYFUNCTION("""COMPUTED_VALUE"""),5.0)</f>
        <v>5</v>
      </c>
      <c r="H1458" s="26">
        <f>IFERROR(__xludf.DUMMYFUNCTION("""COMPUTED_VALUE"""),27.986)</f>
        <v>27.986</v>
      </c>
    </row>
    <row r="1459">
      <c r="A1459" s="26" t="str">
        <f>IFERROR(__xludf.DUMMYFUNCTION("""COMPUTED_VALUE"""),"CA-2015-125066")</f>
        <v>CA-2015-125066</v>
      </c>
      <c r="B1459" s="27">
        <f>IFERROR(__xludf.DUMMYFUNCTION("""COMPUTED_VALUE"""),42352.0)</f>
        <v>42352</v>
      </c>
      <c r="C1459" s="26" t="str">
        <f>IFERROR(__xludf.DUMMYFUNCTION("""COMPUTED_VALUE"""),"Keith Dawkins")</f>
        <v>Keith Dawkins</v>
      </c>
      <c r="D1459" s="26" t="str">
        <f>IFERROR(__xludf.DUMMYFUNCTION("""COMPUTED_VALUE"""),"Corporate")</f>
        <v>Corporate</v>
      </c>
      <c r="E1459" s="26" t="str">
        <f>IFERROR(__xludf.DUMMYFUNCTION("""COMPUTED_VALUE"""),"South")</f>
        <v>South</v>
      </c>
      <c r="F1459" s="26">
        <f>IFERROR(__xludf.DUMMYFUNCTION("""COMPUTED_VALUE"""),6.16)</f>
        <v>6.16</v>
      </c>
      <c r="G1459" s="26">
        <f>IFERROR(__xludf.DUMMYFUNCTION("""COMPUTED_VALUE"""),2.0)</f>
        <v>2</v>
      </c>
      <c r="H1459" s="26">
        <f>IFERROR(__xludf.DUMMYFUNCTION("""COMPUTED_VALUE"""),1.9712)</f>
        <v>1.9712</v>
      </c>
    </row>
    <row r="1460">
      <c r="A1460" s="26" t="str">
        <f>IFERROR(__xludf.DUMMYFUNCTION("""COMPUTED_VALUE"""),"CA-2015-166604")</f>
        <v>CA-2015-166604</v>
      </c>
      <c r="B1460" s="27">
        <f>IFERROR(__xludf.DUMMYFUNCTION("""COMPUTED_VALUE"""),42139.0)</f>
        <v>42139</v>
      </c>
      <c r="C1460" s="26" t="str">
        <f>IFERROR(__xludf.DUMMYFUNCTION("""COMPUTED_VALUE"""),"Anna Häberlin")</f>
        <v>Anna Häberlin</v>
      </c>
      <c r="D1460" s="26" t="str">
        <f>IFERROR(__xludf.DUMMYFUNCTION("""COMPUTED_VALUE"""),"Corporate")</f>
        <v>Corporate</v>
      </c>
      <c r="E1460" s="26" t="str">
        <f>IFERROR(__xludf.DUMMYFUNCTION("""COMPUTED_VALUE"""),"South")</f>
        <v>South</v>
      </c>
      <c r="F1460" s="26">
        <f>IFERROR(__xludf.DUMMYFUNCTION("""COMPUTED_VALUE"""),17.94)</f>
        <v>17.94</v>
      </c>
      <c r="G1460" s="26">
        <f>IFERROR(__xludf.DUMMYFUNCTION("""COMPUTED_VALUE"""),3.0)</f>
        <v>3</v>
      </c>
      <c r="H1460" s="26">
        <f>IFERROR(__xludf.DUMMYFUNCTION("""COMPUTED_VALUE"""),8.7906)</f>
        <v>8.7906</v>
      </c>
    </row>
    <row r="1461">
      <c r="A1461" s="26" t="str">
        <f>IFERROR(__xludf.DUMMYFUNCTION("""COMPUTED_VALUE"""),"CA-2015-104241")</f>
        <v>CA-2015-104241</v>
      </c>
      <c r="B1461" s="27">
        <f>IFERROR(__xludf.DUMMYFUNCTION("""COMPUTED_VALUE"""),42008.0)</f>
        <v>42008</v>
      </c>
      <c r="C1461" s="26" t="str">
        <f>IFERROR(__xludf.DUMMYFUNCTION("""COMPUTED_VALUE"""),"Andrew Gjertsen")</f>
        <v>Andrew Gjertsen</v>
      </c>
      <c r="D1461" s="26" t="str">
        <f>IFERROR(__xludf.DUMMYFUNCTION("""COMPUTED_VALUE"""),"Corporate")</f>
        <v>Corporate</v>
      </c>
      <c r="E1461" s="26" t="str">
        <f>IFERROR(__xludf.DUMMYFUNCTION("""COMPUTED_VALUE"""),"South")</f>
        <v>South</v>
      </c>
      <c r="F1461" s="26">
        <f>IFERROR(__xludf.DUMMYFUNCTION("""COMPUTED_VALUE"""),192.22)</f>
        <v>192.22</v>
      </c>
      <c r="G1461" s="26">
        <f>IFERROR(__xludf.DUMMYFUNCTION("""COMPUTED_VALUE"""),14.0)</f>
        <v>14</v>
      </c>
      <c r="H1461" s="26">
        <f>IFERROR(__xludf.DUMMYFUNCTION("""COMPUTED_VALUE"""),69.1992)</f>
        <v>69.1992</v>
      </c>
    </row>
    <row r="1462">
      <c r="A1462" s="26" t="str">
        <f>IFERROR(__xludf.DUMMYFUNCTION("""COMPUTED_VALUE"""),"CA-2015-150749")</f>
        <v>CA-2015-150749</v>
      </c>
      <c r="B1462" s="27">
        <f>IFERROR(__xludf.DUMMYFUNCTION("""COMPUTED_VALUE"""),42092.0)</f>
        <v>42092</v>
      </c>
      <c r="C1462" s="26" t="str">
        <f>IFERROR(__xludf.DUMMYFUNCTION("""COMPUTED_VALUE"""),"Alan Shonely")</f>
        <v>Alan Shonely</v>
      </c>
      <c r="D1462" s="26" t="str">
        <f>IFERROR(__xludf.DUMMYFUNCTION("""COMPUTED_VALUE"""),"Consumer")</f>
        <v>Consumer</v>
      </c>
      <c r="E1462" s="26" t="str">
        <f>IFERROR(__xludf.DUMMYFUNCTION("""COMPUTED_VALUE"""),"South")</f>
        <v>South</v>
      </c>
      <c r="F1462" s="26">
        <f>IFERROR(__xludf.DUMMYFUNCTION("""COMPUTED_VALUE"""),5.56)</f>
        <v>5.56</v>
      </c>
      <c r="G1462" s="26">
        <f>IFERROR(__xludf.DUMMYFUNCTION("""COMPUTED_VALUE"""),2.0)</f>
        <v>2</v>
      </c>
      <c r="H1462" s="26">
        <f>IFERROR(__xludf.DUMMYFUNCTION("""COMPUTED_VALUE"""),1.4456)</f>
        <v>1.4456</v>
      </c>
    </row>
    <row r="1463">
      <c r="A1463" s="26" t="str">
        <f>IFERROR(__xludf.DUMMYFUNCTION("""COMPUTED_VALUE"""),"CA-2015-119634")</f>
        <v>CA-2015-119634</v>
      </c>
      <c r="B1463" s="27">
        <f>IFERROR(__xludf.DUMMYFUNCTION("""COMPUTED_VALUE"""),42227.0)</f>
        <v>42227</v>
      </c>
      <c r="C1463" s="26" t="str">
        <f>IFERROR(__xludf.DUMMYFUNCTION("""COMPUTED_VALUE"""),"Barry Weirich")</f>
        <v>Barry Weirich</v>
      </c>
      <c r="D1463" s="26" t="str">
        <f>IFERROR(__xludf.DUMMYFUNCTION("""COMPUTED_VALUE"""),"Consumer")</f>
        <v>Consumer</v>
      </c>
      <c r="E1463" s="26" t="str">
        <f>IFERROR(__xludf.DUMMYFUNCTION("""COMPUTED_VALUE"""),"South")</f>
        <v>South</v>
      </c>
      <c r="F1463" s="26">
        <f>IFERROR(__xludf.DUMMYFUNCTION("""COMPUTED_VALUE"""),46.152)</f>
        <v>46.152</v>
      </c>
      <c r="G1463" s="26">
        <f>IFERROR(__xludf.DUMMYFUNCTION("""COMPUTED_VALUE"""),3.0)</f>
        <v>3</v>
      </c>
      <c r="H1463" s="26">
        <f>IFERROR(__xludf.DUMMYFUNCTION("""COMPUTED_VALUE"""),12.1149)</f>
        <v>12.1149</v>
      </c>
    </row>
    <row r="1464">
      <c r="A1464" s="26" t="str">
        <f>IFERROR(__xludf.DUMMYFUNCTION("""COMPUTED_VALUE"""),"CA-2015-149300")</f>
        <v>CA-2015-149300</v>
      </c>
      <c r="B1464" s="27">
        <f>IFERROR(__xludf.DUMMYFUNCTION("""COMPUTED_VALUE"""),42330.0)</f>
        <v>42330</v>
      </c>
      <c r="C1464" s="26" t="str">
        <f>IFERROR(__xludf.DUMMYFUNCTION("""COMPUTED_VALUE"""),"Brosina Hoffman")</f>
        <v>Brosina Hoffman</v>
      </c>
      <c r="D1464" s="26" t="str">
        <f>IFERROR(__xludf.DUMMYFUNCTION("""COMPUTED_VALUE"""),"Consumer")</f>
        <v>Consumer</v>
      </c>
      <c r="E1464" s="26" t="str">
        <f>IFERROR(__xludf.DUMMYFUNCTION("""COMPUTED_VALUE"""),"South")</f>
        <v>South</v>
      </c>
      <c r="F1464" s="26">
        <f>IFERROR(__xludf.DUMMYFUNCTION("""COMPUTED_VALUE"""),32.985)</f>
        <v>32.985</v>
      </c>
      <c r="G1464" s="26">
        <f>IFERROR(__xludf.DUMMYFUNCTION("""COMPUTED_VALUE"""),3.0)</f>
        <v>3</v>
      </c>
      <c r="H1464" s="26">
        <f>IFERROR(__xludf.DUMMYFUNCTION("""COMPUTED_VALUE"""),-1.9791)</f>
        <v>-1.9791</v>
      </c>
    </row>
    <row r="1465">
      <c r="A1465" s="26" t="str">
        <f>IFERROR(__xludf.DUMMYFUNCTION("""COMPUTED_VALUE"""),"US-2015-106495")</f>
        <v>US-2015-106495</v>
      </c>
      <c r="B1465" s="27">
        <f>IFERROR(__xludf.DUMMYFUNCTION("""COMPUTED_VALUE"""),42170.0)</f>
        <v>42170</v>
      </c>
      <c r="C1465" s="26" t="str">
        <f>IFERROR(__xludf.DUMMYFUNCTION("""COMPUTED_VALUE"""),"Amy Cox")</f>
        <v>Amy Cox</v>
      </c>
      <c r="D1465" s="26" t="str">
        <f>IFERROR(__xludf.DUMMYFUNCTION("""COMPUTED_VALUE"""),"Consumer")</f>
        <v>Consumer</v>
      </c>
      <c r="E1465" s="26" t="str">
        <f>IFERROR(__xludf.DUMMYFUNCTION("""COMPUTED_VALUE"""),"South")</f>
        <v>South</v>
      </c>
      <c r="F1465" s="26">
        <f>IFERROR(__xludf.DUMMYFUNCTION("""COMPUTED_VALUE"""),11.672)</f>
        <v>11.672</v>
      </c>
      <c r="G1465" s="26">
        <f>IFERROR(__xludf.DUMMYFUNCTION("""COMPUTED_VALUE"""),1.0)</f>
        <v>1</v>
      </c>
      <c r="H1465" s="26">
        <f>IFERROR(__xludf.DUMMYFUNCTION("""COMPUTED_VALUE"""),-0.7295)</f>
        <v>-0.7295</v>
      </c>
    </row>
    <row r="1466">
      <c r="A1466" s="26" t="str">
        <f>IFERROR(__xludf.DUMMYFUNCTION("""COMPUTED_VALUE"""),"CA-2015-101868")</f>
        <v>CA-2015-101868</v>
      </c>
      <c r="B1466" s="27">
        <f>IFERROR(__xludf.DUMMYFUNCTION("""COMPUTED_VALUE"""),42164.0)</f>
        <v>42164</v>
      </c>
      <c r="C1466" s="26" t="str">
        <f>IFERROR(__xludf.DUMMYFUNCTION("""COMPUTED_VALUE"""),"Max Jones")</f>
        <v>Max Jones</v>
      </c>
      <c r="D1466" s="26" t="str">
        <f>IFERROR(__xludf.DUMMYFUNCTION("""COMPUTED_VALUE"""),"Consumer")</f>
        <v>Consumer</v>
      </c>
      <c r="E1466" s="26" t="str">
        <f>IFERROR(__xludf.DUMMYFUNCTION("""COMPUTED_VALUE"""),"South")</f>
        <v>South</v>
      </c>
      <c r="F1466" s="26">
        <f>IFERROR(__xludf.DUMMYFUNCTION("""COMPUTED_VALUE"""),64.2)</f>
        <v>64.2</v>
      </c>
      <c r="G1466" s="26">
        <f>IFERROR(__xludf.DUMMYFUNCTION("""COMPUTED_VALUE"""),5.0)</f>
        <v>5</v>
      </c>
      <c r="H1466" s="26">
        <f>IFERROR(__xludf.DUMMYFUNCTION("""COMPUTED_VALUE"""),-42.8)</f>
        <v>-42.8</v>
      </c>
    </row>
    <row r="1467">
      <c r="A1467" s="26" t="str">
        <f>IFERROR(__xludf.DUMMYFUNCTION("""COMPUTED_VALUE"""),"CA-2015-134992")</f>
        <v>CA-2015-134992</v>
      </c>
      <c r="B1467" s="27">
        <f>IFERROR(__xludf.DUMMYFUNCTION("""COMPUTED_VALUE"""),42269.0)</f>
        <v>42269</v>
      </c>
      <c r="C1467" s="26" t="str">
        <f>IFERROR(__xludf.DUMMYFUNCTION("""COMPUTED_VALUE"""),"Michael Grace")</f>
        <v>Michael Grace</v>
      </c>
      <c r="D1467" s="26" t="str">
        <f>IFERROR(__xludf.DUMMYFUNCTION("""COMPUTED_VALUE"""),"Home Office")</f>
        <v>Home Office</v>
      </c>
      <c r="E1467" s="26" t="str">
        <f>IFERROR(__xludf.DUMMYFUNCTION("""COMPUTED_VALUE"""),"South")</f>
        <v>South</v>
      </c>
      <c r="F1467" s="26">
        <f>IFERROR(__xludf.DUMMYFUNCTION("""COMPUTED_VALUE"""),32.4)</f>
        <v>32.4</v>
      </c>
      <c r="G1467" s="26">
        <f>IFERROR(__xludf.DUMMYFUNCTION("""COMPUTED_VALUE"""),5.0)</f>
        <v>5</v>
      </c>
      <c r="H1467" s="26">
        <f>IFERROR(__xludf.DUMMYFUNCTION("""COMPUTED_VALUE"""),15.552)</f>
        <v>15.552</v>
      </c>
    </row>
    <row r="1468">
      <c r="A1468" s="26" t="str">
        <f>IFERROR(__xludf.DUMMYFUNCTION("""COMPUTED_VALUE"""),"CA-2015-108119")</f>
        <v>CA-2015-108119</v>
      </c>
      <c r="B1468" s="27">
        <f>IFERROR(__xludf.DUMMYFUNCTION("""COMPUTED_VALUE"""),42309.0)</f>
        <v>42309</v>
      </c>
      <c r="C1468" s="26" t="str">
        <f>IFERROR(__xludf.DUMMYFUNCTION("""COMPUTED_VALUE"""),"MaryBeth Skach")</f>
        <v>MaryBeth Skach</v>
      </c>
      <c r="D1468" s="26" t="str">
        <f>IFERROR(__xludf.DUMMYFUNCTION("""COMPUTED_VALUE"""),"Consumer")</f>
        <v>Consumer</v>
      </c>
      <c r="E1468" s="26" t="str">
        <f>IFERROR(__xludf.DUMMYFUNCTION("""COMPUTED_VALUE"""),"South")</f>
        <v>South</v>
      </c>
      <c r="F1468" s="26">
        <f>IFERROR(__xludf.DUMMYFUNCTION("""COMPUTED_VALUE"""),301.96)</f>
        <v>301.96</v>
      </c>
      <c r="G1468" s="26">
        <f>IFERROR(__xludf.DUMMYFUNCTION("""COMPUTED_VALUE"""),2.0)</f>
        <v>2</v>
      </c>
      <c r="H1468" s="26">
        <f>IFERROR(__xludf.DUMMYFUNCTION("""COMPUTED_VALUE"""),45.294)</f>
        <v>45.294</v>
      </c>
    </row>
    <row r="1469">
      <c r="A1469" s="26" t="str">
        <f>IFERROR(__xludf.DUMMYFUNCTION("""COMPUTED_VALUE"""),"CA-2015-147879")</f>
        <v>CA-2015-147879</v>
      </c>
      <c r="B1469" s="27">
        <f>IFERROR(__xludf.DUMMYFUNCTION("""COMPUTED_VALUE"""),42131.0)</f>
        <v>42131</v>
      </c>
      <c r="C1469" s="26" t="str">
        <f>IFERROR(__xludf.DUMMYFUNCTION("""COMPUTED_VALUE"""),"Chris Cortes")</f>
        <v>Chris Cortes</v>
      </c>
      <c r="D1469" s="26" t="str">
        <f>IFERROR(__xludf.DUMMYFUNCTION("""COMPUTED_VALUE"""),"Consumer")</f>
        <v>Consumer</v>
      </c>
      <c r="E1469" s="26" t="str">
        <f>IFERROR(__xludf.DUMMYFUNCTION("""COMPUTED_VALUE"""),"South")</f>
        <v>South</v>
      </c>
      <c r="F1469" s="26">
        <f>IFERROR(__xludf.DUMMYFUNCTION("""COMPUTED_VALUE"""),45.68)</f>
        <v>45.68</v>
      </c>
      <c r="G1469" s="26">
        <f>IFERROR(__xludf.DUMMYFUNCTION("""COMPUTED_VALUE"""),2.0)</f>
        <v>2</v>
      </c>
      <c r="H1469" s="26">
        <f>IFERROR(__xludf.DUMMYFUNCTION("""COMPUTED_VALUE"""),21.0128)</f>
        <v>21.0128</v>
      </c>
    </row>
    <row r="1470">
      <c r="A1470" s="26" t="str">
        <f>IFERROR(__xludf.DUMMYFUNCTION("""COMPUTED_VALUE"""),"CA-2015-105571")</f>
        <v>CA-2015-105571</v>
      </c>
      <c r="B1470" s="27">
        <f>IFERROR(__xludf.DUMMYFUNCTION("""COMPUTED_VALUE"""),42315.0)</f>
        <v>42315</v>
      </c>
      <c r="C1470" s="26" t="str">
        <f>IFERROR(__xludf.DUMMYFUNCTION("""COMPUTED_VALUE"""),"Christine Phan")</f>
        <v>Christine Phan</v>
      </c>
      <c r="D1470" s="26" t="str">
        <f>IFERROR(__xludf.DUMMYFUNCTION("""COMPUTED_VALUE"""),"Corporate")</f>
        <v>Corporate</v>
      </c>
      <c r="E1470" s="26" t="str">
        <f>IFERROR(__xludf.DUMMYFUNCTION("""COMPUTED_VALUE"""),"South")</f>
        <v>South</v>
      </c>
      <c r="F1470" s="26">
        <f>IFERROR(__xludf.DUMMYFUNCTION("""COMPUTED_VALUE"""),16.146)</f>
        <v>16.146</v>
      </c>
      <c r="G1470" s="26">
        <f>IFERROR(__xludf.DUMMYFUNCTION("""COMPUTED_VALUE"""),9.0)</f>
        <v>9</v>
      </c>
      <c r="H1470" s="26">
        <f>IFERROR(__xludf.DUMMYFUNCTION("""COMPUTED_VALUE"""),-12.9168)</f>
        <v>-12.9168</v>
      </c>
    </row>
    <row r="1471">
      <c r="A1471" s="26" t="str">
        <f>IFERROR(__xludf.DUMMYFUNCTION("""COMPUTED_VALUE"""),"CA-2015-151547")</f>
        <v>CA-2015-151547</v>
      </c>
      <c r="B1471" s="27">
        <f>IFERROR(__xludf.DUMMYFUNCTION("""COMPUTED_VALUE"""),42021.0)</f>
        <v>42021</v>
      </c>
      <c r="C1471" s="26" t="str">
        <f>IFERROR(__xludf.DUMMYFUNCTION("""COMPUTED_VALUE"""),"Amy Hunt")</f>
        <v>Amy Hunt</v>
      </c>
      <c r="D1471" s="26" t="str">
        <f>IFERROR(__xludf.DUMMYFUNCTION("""COMPUTED_VALUE"""),"Consumer")</f>
        <v>Consumer</v>
      </c>
      <c r="E1471" s="26" t="str">
        <f>IFERROR(__xludf.DUMMYFUNCTION("""COMPUTED_VALUE"""),"South")</f>
        <v>South</v>
      </c>
      <c r="F1471" s="26">
        <f>IFERROR(__xludf.DUMMYFUNCTION("""COMPUTED_VALUE"""),88.96)</f>
        <v>88.96</v>
      </c>
      <c r="G1471" s="26">
        <f>IFERROR(__xludf.DUMMYFUNCTION("""COMPUTED_VALUE"""),8.0)</f>
        <v>8</v>
      </c>
      <c r="H1471" s="26">
        <f>IFERROR(__xludf.DUMMYFUNCTION("""COMPUTED_VALUE"""),10.008)</f>
        <v>10.008</v>
      </c>
    </row>
    <row r="1472">
      <c r="A1472" s="26" t="str">
        <f>IFERROR(__xludf.DUMMYFUNCTION("""COMPUTED_VALUE"""),"CA-2015-137281")</f>
        <v>CA-2015-137281</v>
      </c>
      <c r="B1472" s="27">
        <f>IFERROR(__xludf.DUMMYFUNCTION("""COMPUTED_VALUE"""),42168.0)</f>
        <v>42168</v>
      </c>
      <c r="C1472" s="26" t="str">
        <f>IFERROR(__xludf.DUMMYFUNCTION("""COMPUTED_VALUE"""),"Barbara Fisher")</f>
        <v>Barbara Fisher</v>
      </c>
      <c r="D1472" s="26" t="str">
        <f>IFERROR(__xludf.DUMMYFUNCTION("""COMPUTED_VALUE"""),"Corporate")</f>
        <v>Corporate</v>
      </c>
      <c r="E1472" s="26" t="str">
        <f>IFERROR(__xludf.DUMMYFUNCTION("""COMPUTED_VALUE"""),"South")</f>
        <v>South</v>
      </c>
      <c r="F1472" s="26">
        <f>IFERROR(__xludf.DUMMYFUNCTION("""COMPUTED_VALUE"""),6.48)</f>
        <v>6.48</v>
      </c>
      <c r="G1472" s="26">
        <f>IFERROR(__xludf.DUMMYFUNCTION("""COMPUTED_VALUE"""),1.0)</f>
        <v>1</v>
      </c>
      <c r="H1472" s="26">
        <f>IFERROR(__xludf.DUMMYFUNCTION("""COMPUTED_VALUE"""),3.1104)</f>
        <v>3.1104</v>
      </c>
    </row>
    <row r="1473">
      <c r="A1473" s="26" t="str">
        <f>IFERROR(__xludf.DUMMYFUNCTION("""COMPUTED_VALUE"""),"CA-2015-147011")</f>
        <v>CA-2015-147011</v>
      </c>
      <c r="B1473" s="27">
        <f>IFERROR(__xludf.DUMMYFUNCTION("""COMPUTED_VALUE"""),42173.0)</f>
        <v>42173</v>
      </c>
      <c r="C1473" s="26" t="str">
        <f>IFERROR(__xludf.DUMMYFUNCTION("""COMPUTED_VALUE"""),"Harold Ryan")</f>
        <v>Harold Ryan</v>
      </c>
      <c r="D1473" s="26" t="str">
        <f>IFERROR(__xludf.DUMMYFUNCTION("""COMPUTED_VALUE"""),"Corporate")</f>
        <v>Corporate</v>
      </c>
      <c r="E1473" s="26" t="str">
        <f>IFERROR(__xludf.DUMMYFUNCTION("""COMPUTED_VALUE"""),"South")</f>
        <v>South</v>
      </c>
      <c r="F1473" s="26">
        <f>IFERROR(__xludf.DUMMYFUNCTION("""COMPUTED_VALUE"""),13.632)</f>
        <v>13.632</v>
      </c>
      <c r="G1473" s="26">
        <f>IFERROR(__xludf.DUMMYFUNCTION("""COMPUTED_VALUE"""),4.0)</f>
        <v>4</v>
      </c>
      <c r="H1473" s="26">
        <f>IFERROR(__xludf.DUMMYFUNCTION("""COMPUTED_VALUE"""),3.5784)</f>
        <v>3.5784</v>
      </c>
    </row>
    <row r="1474">
      <c r="A1474" s="26" t="str">
        <f>IFERROR(__xludf.DUMMYFUNCTION("""COMPUTED_VALUE"""),"CA-2015-158421")</f>
        <v>CA-2015-158421</v>
      </c>
      <c r="B1474" s="27">
        <f>IFERROR(__xludf.DUMMYFUNCTION("""COMPUTED_VALUE"""),42268.0)</f>
        <v>42268</v>
      </c>
      <c r="C1474" s="26" t="str">
        <f>IFERROR(__xludf.DUMMYFUNCTION("""COMPUTED_VALUE"""),"Giulietta Baptist")</f>
        <v>Giulietta Baptist</v>
      </c>
      <c r="D1474" s="26" t="str">
        <f>IFERROR(__xludf.DUMMYFUNCTION("""COMPUTED_VALUE"""),"Consumer")</f>
        <v>Consumer</v>
      </c>
      <c r="E1474" s="26" t="str">
        <f>IFERROR(__xludf.DUMMYFUNCTION("""COMPUTED_VALUE"""),"South")</f>
        <v>South</v>
      </c>
      <c r="F1474" s="26">
        <f>IFERROR(__xludf.DUMMYFUNCTION("""COMPUTED_VALUE"""),1690.04)</f>
        <v>1690.04</v>
      </c>
      <c r="G1474" s="26">
        <f>IFERROR(__xludf.DUMMYFUNCTION("""COMPUTED_VALUE"""),4.0)</f>
        <v>4</v>
      </c>
      <c r="H1474" s="26">
        <f>IFERROR(__xludf.DUMMYFUNCTION("""COMPUTED_VALUE"""),422.51)</f>
        <v>422.51</v>
      </c>
    </row>
    <row r="1475">
      <c r="A1475" s="26" t="str">
        <f>IFERROR(__xludf.DUMMYFUNCTION("""COMPUTED_VALUE"""),"US-2015-129553")</f>
        <v>US-2015-129553</v>
      </c>
      <c r="B1475" s="27">
        <f>IFERROR(__xludf.DUMMYFUNCTION("""COMPUTED_VALUE"""),42212.0)</f>
        <v>42212</v>
      </c>
      <c r="C1475" s="26" t="str">
        <f>IFERROR(__xludf.DUMMYFUNCTION("""COMPUTED_VALUE"""),"Patrick Gardner")</f>
        <v>Patrick Gardner</v>
      </c>
      <c r="D1475" s="26" t="str">
        <f>IFERROR(__xludf.DUMMYFUNCTION("""COMPUTED_VALUE"""),"Consumer")</f>
        <v>Consumer</v>
      </c>
      <c r="E1475" s="26" t="str">
        <f>IFERROR(__xludf.DUMMYFUNCTION("""COMPUTED_VALUE"""),"South")</f>
        <v>South</v>
      </c>
      <c r="F1475" s="26">
        <f>IFERROR(__xludf.DUMMYFUNCTION("""COMPUTED_VALUE"""),29.97)</f>
        <v>29.97</v>
      </c>
      <c r="G1475" s="26">
        <f>IFERROR(__xludf.DUMMYFUNCTION("""COMPUTED_VALUE"""),3.0)</f>
        <v>3</v>
      </c>
      <c r="H1475" s="26">
        <f>IFERROR(__xludf.DUMMYFUNCTION("""COMPUTED_VALUE"""),0.2997)</f>
        <v>0.2997</v>
      </c>
    </row>
    <row r="1476">
      <c r="A1476" s="26" t="str">
        <f>IFERROR(__xludf.DUMMYFUNCTION("""COMPUTED_VALUE"""),"CA-2015-151624")</f>
        <v>CA-2015-151624</v>
      </c>
      <c r="B1476" s="27">
        <f>IFERROR(__xludf.DUMMYFUNCTION("""COMPUTED_VALUE"""),42255.0)</f>
        <v>42255</v>
      </c>
      <c r="C1476" s="26" t="str">
        <f>IFERROR(__xludf.DUMMYFUNCTION("""COMPUTED_VALUE"""),"Victoria Wilson")</f>
        <v>Victoria Wilson</v>
      </c>
      <c r="D1476" s="26" t="str">
        <f>IFERROR(__xludf.DUMMYFUNCTION("""COMPUTED_VALUE"""),"Corporate")</f>
        <v>Corporate</v>
      </c>
      <c r="E1476" s="26" t="str">
        <f>IFERROR(__xludf.DUMMYFUNCTION("""COMPUTED_VALUE"""),"South")</f>
        <v>South</v>
      </c>
      <c r="F1476" s="26">
        <f>IFERROR(__xludf.DUMMYFUNCTION("""COMPUTED_VALUE"""),21.36)</f>
        <v>21.36</v>
      </c>
      <c r="G1476" s="26">
        <f>IFERROR(__xludf.DUMMYFUNCTION("""COMPUTED_VALUE"""),8.0)</f>
        <v>8</v>
      </c>
      <c r="H1476" s="26">
        <f>IFERROR(__xludf.DUMMYFUNCTION("""COMPUTED_VALUE"""),8.1168)</f>
        <v>8.1168</v>
      </c>
    </row>
    <row r="1477">
      <c r="A1477" s="26" t="str">
        <f>IFERROR(__xludf.DUMMYFUNCTION("""COMPUTED_VALUE"""),"CA-2015-133977")</f>
        <v>CA-2015-133977</v>
      </c>
      <c r="B1477" s="27">
        <f>IFERROR(__xludf.DUMMYFUNCTION("""COMPUTED_VALUE"""),42253.0)</f>
        <v>42253</v>
      </c>
      <c r="C1477" s="26" t="str">
        <f>IFERROR(__xludf.DUMMYFUNCTION("""COMPUTED_VALUE"""),"Alyssa Tate")</f>
        <v>Alyssa Tate</v>
      </c>
      <c r="D1477" s="26" t="str">
        <f>IFERROR(__xludf.DUMMYFUNCTION("""COMPUTED_VALUE"""),"Home Office")</f>
        <v>Home Office</v>
      </c>
      <c r="E1477" s="26" t="str">
        <f>IFERROR(__xludf.DUMMYFUNCTION("""COMPUTED_VALUE"""),"South")</f>
        <v>South</v>
      </c>
      <c r="F1477" s="26">
        <f>IFERROR(__xludf.DUMMYFUNCTION("""COMPUTED_VALUE"""),3.444)</f>
        <v>3.444</v>
      </c>
      <c r="G1477" s="26">
        <f>IFERROR(__xludf.DUMMYFUNCTION("""COMPUTED_VALUE"""),1.0)</f>
        <v>1</v>
      </c>
      <c r="H1477" s="26">
        <f>IFERROR(__xludf.DUMMYFUNCTION("""COMPUTED_VALUE"""),-2.5256)</f>
        <v>-2.5256</v>
      </c>
    </row>
    <row r="1478">
      <c r="A1478" s="26" t="str">
        <f>IFERROR(__xludf.DUMMYFUNCTION("""COMPUTED_VALUE"""),"CA-2015-147529")</f>
        <v>CA-2015-147529</v>
      </c>
      <c r="B1478" s="27">
        <f>IFERROR(__xludf.DUMMYFUNCTION("""COMPUTED_VALUE"""),42042.0)</f>
        <v>42042</v>
      </c>
      <c r="C1478" s="26" t="str">
        <f>IFERROR(__xludf.DUMMYFUNCTION("""COMPUTED_VALUE"""),"Damala Kotsonis")</f>
        <v>Damala Kotsonis</v>
      </c>
      <c r="D1478" s="26" t="str">
        <f>IFERROR(__xludf.DUMMYFUNCTION("""COMPUTED_VALUE"""),"Corporate")</f>
        <v>Corporate</v>
      </c>
      <c r="E1478" s="26" t="str">
        <f>IFERROR(__xludf.DUMMYFUNCTION("""COMPUTED_VALUE"""),"South")</f>
        <v>South</v>
      </c>
      <c r="F1478" s="26">
        <f>IFERROR(__xludf.DUMMYFUNCTION("""COMPUTED_VALUE"""),311.15)</f>
        <v>311.15</v>
      </c>
      <c r="G1478" s="26">
        <f>IFERROR(__xludf.DUMMYFUNCTION("""COMPUTED_VALUE"""),5.0)</f>
        <v>5</v>
      </c>
      <c r="H1478" s="26">
        <f>IFERROR(__xludf.DUMMYFUNCTION("""COMPUTED_VALUE"""),146.2405)</f>
        <v>146.2405</v>
      </c>
    </row>
    <row r="1479">
      <c r="A1479" s="26" t="str">
        <f>IFERROR(__xludf.DUMMYFUNCTION("""COMPUTED_VALUE"""),"CA-2015-156328")</f>
        <v>CA-2015-156328</v>
      </c>
      <c r="B1479" s="27">
        <f>IFERROR(__xludf.DUMMYFUNCTION("""COMPUTED_VALUE"""),42338.0)</f>
        <v>42338</v>
      </c>
      <c r="C1479" s="26" t="str">
        <f>IFERROR(__xludf.DUMMYFUNCTION("""COMPUTED_VALUE"""),"Raymond Messe")</f>
        <v>Raymond Messe</v>
      </c>
      <c r="D1479" s="26" t="str">
        <f>IFERROR(__xludf.DUMMYFUNCTION("""COMPUTED_VALUE"""),"Consumer")</f>
        <v>Consumer</v>
      </c>
      <c r="E1479" s="26" t="str">
        <f>IFERROR(__xludf.DUMMYFUNCTION("""COMPUTED_VALUE"""),"South")</f>
        <v>South</v>
      </c>
      <c r="F1479" s="26">
        <f>IFERROR(__xludf.DUMMYFUNCTION("""COMPUTED_VALUE"""),177.48)</f>
        <v>177.48</v>
      </c>
      <c r="G1479" s="26">
        <f>IFERROR(__xludf.DUMMYFUNCTION("""COMPUTED_VALUE"""),3.0)</f>
        <v>3</v>
      </c>
      <c r="H1479" s="26">
        <f>IFERROR(__xludf.DUMMYFUNCTION("""COMPUTED_VALUE"""),19.9665)</f>
        <v>19.9665</v>
      </c>
    </row>
    <row r="1480">
      <c r="A1480" s="26" t="str">
        <f>IFERROR(__xludf.DUMMYFUNCTION("""COMPUTED_VALUE"""),"CA-2015-114503")</f>
        <v>CA-2015-114503</v>
      </c>
      <c r="B1480" s="27">
        <f>IFERROR(__xludf.DUMMYFUNCTION("""COMPUTED_VALUE"""),42321.0)</f>
        <v>42321</v>
      </c>
      <c r="C1480" s="26" t="str">
        <f>IFERROR(__xludf.DUMMYFUNCTION("""COMPUTED_VALUE"""),"Allen Armold")</f>
        <v>Allen Armold</v>
      </c>
      <c r="D1480" s="26" t="str">
        <f>IFERROR(__xludf.DUMMYFUNCTION("""COMPUTED_VALUE"""),"Consumer")</f>
        <v>Consumer</v>
      </c>
      <c r="E1480" s="26" t="str">
        <f>IFERROR(__xludf.DUMMYFUNCTION("""COMPUTED_VALUE"""),"South")</f>
        <v>South</v>
      </c>
      <c r="F1480" s="26">
        <f>IFERROR(__xludf.DUMMYFUNCTION("""COMPUTED_VALUE"""),84.96)</f>
        <v>84.96</v>
      </c>
      <c r="G1480" s="26">
        <f>IFERROR(__xludf.DUMMYFUNCTION("""COMPUTED_VALUE"""),6.0)</f>
        <v>6</v>
      </c>
      <c r="H1480" s="26">
        <f>IFERROR(__xludf.DUMMYFUNCTION("""COMPUTED_VALUE"""),6.372)</f>
        <v>6.372</v>
      </c>
    </row>
    <row r="1481">
      <c r="A1481" s="26" t="str">
        <f>IFERROR(__xludf.DUMMYFUNCTION("""COMPUTED_VALUE"""),"CA-2015-120621")</f>
        <v>CA-2015-120621</v>
      </c>
      <c r="B1481" s="27">
        <f>IFERROR(__xludf.DUMMYFUNCTION("""COMPUTED_VALUE"""),42084.0)</f>
        <v>42084</v>
      </c>
      <c r="C1481" s="26" t="str">
        <f>IFERROR(__xludf.DUMMYFUNCTION("""COMPUTED_VALUE"""),"Julia West")</f>
        <v>Julia West</v>
      </c>
      <c r="D1481" s="26" t="str">
        <f>IFERROR(__xludf.DUMMYFUNCTION("""COMPUTED_VALUE"""),"Consumer")</f>
        <v>Consumer</v>
      </c>
      <c r="E1481" s="26" t="str">
        <f>IFERROR(__xludf.DUMMYFUNCTION("""COMPUTED_VALUE"""),"South")</f>
        <v>South</v>
      </c>
      <c r="F1481" s="26">
        <f>IFERROR(__xludf.DUMMYFUNCTION("""COMPUTED_VALUE"""),962.08)</f>
        <v>962.08</v>
      </c>
      <c r="G1481" s="26">
        <f>IFERROR(__xludf.DUMMYFUNCTION("""COMPUTED_VALUE"""),4.0)</f>
        <v>4</v>
      </c>
      <c r="H1481" s="26">
        <f>IFERROR(__xludf.DUMMYFUNCTION("""COMPUTED_VALUE"""),156.338)</f>
        <v>156.338</v>
      </c>
    </row>
    <row r="1482">
      <c r="A1482" s="26" t="str">
        <f>IFERROR(__xludf.DUMMYFUNCTION("""COMPUTED_VALUE"""),"CA-2015-103135")</f>
        <v>CA-2015-103135</v>
      </c>
      <c r="B1482" s="27">
        <f>IFERROR(__xludf.DUMMYFUNCTION("""COMPUTED_VALUE"""),42209.0)</f>
        <v>42209</v>
      </c>
      <c r="C1482" s="26" t="str">
        <f>IFERROR(__xludf.DUMMYFUNCTION("""COMPUTED_VALUE"""),"Shirley Schmidt")</f>
        <v>Shirley Schmidt</v>
      </c>
      <c r="D1482" s="26" t="str">
        <f>IFERROR(__xludf.DUMMYFUNCTION("""COMPUTED_VALUE"""),"Home Office")</f>
        <v>Home Office</v>
      </c>
      <c r="E1482" s="26" t="str">
        <f>IFERROR(__xludf.DUMMYFUNCTION("""COMPUTED_VALUE"""),"South")</f>
        <v>South</v>
      </c>
      <c r="F1482" s="26">
        <f>IFERROR(__xludf.DUMMYFUNCTION("""COMPUTED_VALUE"""),20.94)</f>
        <v>20.94</v>
      </c>
      <c r="G1482" s="26">
        <f>IFERROR(__xludf.DUMMYFUNCTION("""COMPUTED_VALUE"""),3.0)</f>
        <v>3</v>
      </c>
      <c r="H1482" s="26">
        <f>IFERROR(__xludf.DUMMYFUNCTION("""COMPUTED_VALUE"""),6.0726)</f>
        <v>6.0726</v>
      </c>
    </row>
    <row r="1483">
      <c r="A1483" s="26" t="str">
        <f>IFERROR(__xludf.DUMMYFUNCTION("""COMPUTED_VALUE"""),"CA-2015-153752")</f>
        <v>CA-2015-153752</v>
      </c>
      <c r="B1483" s="27">
        <f>IFERROR(__xludf.DUMMYFUNCTION("""COMPUTED_VALUE"""),42344.0)</f>
        <v>42344</v>
      </c>
      <c r="C1483" s="26" t="str">
        <f>IFERROR(__xludf.DUMMYFUNCTION("""COMPUTED_VALUE"""),"Rose O'Brian")</f>
        <v>Rose O'Brian</v>
      </c>
      <c r="D1483" s="26" t="str">
        <f>IFERROR(__xludf.DUMMYFUNCTION("""COMPUTED_VALUE"""),"Consumer")</f>
        <v>Consumer</v>
      </c>
      <c r="E1483" s="26" t="str">
        <f>IFERROR(__xludf.DUMMYFUNCTION("""COMPUTED_VALUE"""),"South")</f>
        <v>South</v>
      </c>
      <c r="F1483" s="26">
        <f>IFERROR(__xludf.DUMMYFUNCTION("""COMPUTED_VALUE"""),173.94)</f>
        <v>173.94</v>
      </c>
      <c r="G1483" s="26">
        <f>IFERROR(__xludf.DUMMYFUNCTION("""COMPUTED_VALUE"""),6.0)</f>
        <v>6</v>
      </c>
      <c r="H1483" s="26">
        <f>IFERROR(__xludf.DUMMYFUNCTION("""COMPUTED_VALUE"""),50.4426)</f>
        <v>50.4426</v>
      </c>
    </row>
    <row r="1484">
      <c r="A1484" s="26" t="str">
        <f>IFERROR(__xludf.DUMMYFUNCTION("""COMPUTED_VALUE"""),"CA-2015-107678")</f>
        <v>CA-2015-107678</v>
      </c>
      <c r="B1484" s="27">
        <f>IFERROR(__xludf.DUMMYFUNCTION("""COMPUTED_VALUE"""),42115.0)</f>
        <v>42115</v>
      </c>
      <c r="C1484" s="26" t="str">
        <f>IFERROR(__xludf.DUMMYFUNCTION("""COMPUTED_VALUE"""),"Juliana Krohn")</f>
        <v>Juliana Krohn</v>
      </c>
      <c r="D1484" s="26" t="str">
        <f>IFERROR(__xludf.DUMMYFUNCTION("""COMPUTED_VALUE"""),"Consumer")</f>
        <v>Consumer</v>
      </c>
      <c r="E1484" s="26" t="str">
        <f>IFERROR(__xludf.DUMMYFUNCTION("""COMPUTED_VALUE"""),"South")</f>
        <v>South</v>
      </c>
      <c r="F1484" s="26">
        <f>IFERROR(__xludf.DUMMYFUNCTION("""COMPUTED_VALUE"""),191.96)</f>
        <v>191.96</v>
      </c>
      <c r="G1484" s="26">
        <f>IFERROR(__xludf.DUMMYFUNCTION("""COMPUTED_VALUE"""),2.0)</f>
        <v>2</v>
      </c>
      <c r="H1484" s="26">
        <f>IFERROR(__xludf.DUMMYFUNCTION("""COMPUTED_VALUE"""),51.8292)</f>
        <v>51.8292</v>
      </c>
    </row>
    <row r="1485">
      <c r="A1485" s="26" t="str">
        <f>IFERROR(__xludf.DUMMYFUNCTION("""COMPUTED_VALUE"""),"CA-2015-125696")</f>
        <v>CA-2015-125696</v>
      </c>
      <c r="B1485" s="27">
        <f>IFERROR(__xludf.DUMMYFUNCTION("""COMPUTED_VALUE"""),42279.0)</f>
        <v>42279</v>
      </c>
      <c r="C1485" s="26" t="str">
        <f>IFERROR(__xludf.DUMMYFUNCTION("""COMPUTED_VALUE"""),"Nora Pelletier")</f>
        <v>Nora Pelletier</v>
      </c>
      <c r="D1485" s="26" t="str">
        <f>IFERROR(__xludf.DUMMYFUNCTION("""COMPUTED_VALUE"""),"Home Office")</f>
        <v>Home Office</v>
      </c>
      <c r="E1485" s="26" t="str">
        <f>IFERROR(__xludf.DUMMYFUNCTION("""COMPUTED_VALUE"""),"South")</f>
        <v>South</v>
      </c>
      <c r="F1485" s="26">
        <f>IFERROR(__xludf.DUMMYFUNCTION("""COMPUTED_VALUE"""),7.38)</f>
        <v>7.38</v>
      </c>
      <c r="G1485" s="26">
        <f>IFERROR(__xludf.DUMMYFUNCTION("""COMPUTED_VALUE"""),5.0)</f>
        <v>5</v>
      </c>
      <c r="H1485" s="26">
        <f>IFERROR(__xludf.DUMMYFUNCTION("""COMPUTED_VALUE"""),-5.412)</f>
        <v>-5.412</v>
      </c>
    </row>
    <row r="1486">
      <c r="A1486" s="26" t="str">
        <f>IFERROR(__xludf.DUMMYFUNCTION("""COMPUTED_VALUE"""),"CA-2015-135510")</f>
        <v>CA-2015-135510</v>
      </c>
      <c r="B1486" s="27">
        <f>IFERROR(__xludf.DUMMYFUNCTION("""COMPUTED_VALUE"""),42252.0)</f>
        <v>42252</v>
      </c>
      <c r="C1486" s="26" t="str">
        <f>IFERROR(__xludf.DUMMYFUNCTION("""COMPUTED_VALUE"""),"Tamara Willingham")</f>
        <v>Tamara Willingham</v>
      </c>
      <c r="D1486" s="26" t="str">
        <f>IFERROR(__xludf.DUMMYFUNCTION("""COMPUTED_VALUE"""),"Home Office")</f>
        <v>Home Office</v>
      </c>
      <c r="E1486" s="26" t="str">
        <f>IFERROR(__xludf.DUMMYFUNCTION("""COMPUTED_VALUE"""),"South")</f>
        <v>South</v>
      </c>
      <c r="F1486" s="26">
        <f>IFERROR(__xludf.DUMMYFUNCTION("""COMPUTED_VALUE"""),67.96)</f>
        <v>67.96</v>
      </c>
      <c r="G1486" s="26">
        <f>IFERROR(__xludf.DUMMYFUNCTION("""COMPUTED_VALUE"""),4.0)</f>
        <v>4</v>
      </c>
      <c r="H1486" s="26">
        <f>IFERROR(__xludf.DUMMYFUNCTION("""COMPUTED_VALUE"""),12.2328)</f>
        <v>12.2328</v>
      </c>
    </row>
    <row r="1487">
      <c r="A1487" s="26" t="str">
        <f>IFERROR(__xludf.DUMMYFUNCTION("""COMPUTED_VALUE"""),"CA-2015-153535")</f>
        <v>CA-2015-153535</v>
      </c>
      <c r="B1487" s="27">
        <f>IFERROR(__xludf.DUMMYFUNCTION("""COMPUTED_VALUE"""),42144.0)</f>
        <v>42144</v>
      </c>
      <c r="C1487" s="26" t="str">
        <f>IFERROR(__xludf.DUMMYFUNCTION("""COMPUTED_VALUE"""),"Sheri Gordon")</f>
        <v>Sheri Gordon</v>
      </c>
      <c r="D1487" s="26" t="str">
        <f>IFERROR(__xludf.DUMMYFUNCTION("""COMPUTED_VALUE"""),"Consumer")</f>
        <v>Consumer</v>
      </c>
      <c r="E1487" s="26" t="str">
        <f>IFERROR(__xludf.DUMMYFUNCTION("""COMPUTED_VALUE"""),"South")</f>
        <v>South</v>
      </c>
      <c r="F1487" s="26">
        <f>IFERROR(__xludf.DUMMYFUNCTION("""COMPUTED_VALUE"""),163.136)</f>
        <v>163.136</v>
      </c>
      <c r="G1487" s="26">
        <f>IFERROR(__xludf.DUMMYFUNCTION("""COMPUTED_VALUE"""),4.0)</f>
        <v>4</v>
      </c>
      <c r="H1487" s="26">
        <f>IFERROR(__xludf.DUMMYFUNCTION("""COMPUTED_VALUE"""),20.392)</f>
        <v>20.392</v>
      </c>
    </row>
    <row r="1488">
      <c r="A1488" s="26" t="str">
        <f>IFERROR(__xludf.DUMMYFUNCTION("""COMPUTED_VALUE"""),"CA-2015-156734")</f>
        <v>CA-2015-156734</v>
      </c>
      <c r="B1488" s="27">
        <f>IFERROR(__xludf.DUMMYFUNCTION("""COMPUTED_VALUE"""),42173.0)</f>
        <v>42173</v>
      </c>
      <c r="C1488" s="26" t="str">
        <f>IFERROR(__xludf.DUMMYFUNCTION("""COMPUTED_VALUE"""),"Benjamin Venier")</f>
        <v>Benjamin Venier</v>
      </c>
      <c r="D1488" s="26" t="str">
        <f>IFERROR(__xludf.DUMMYFUNCTION("""COMPUTED_VALUE"""),"Corporate")</f>
        <v>Corporate</v>
      </c>
      <c r="E1488" s="26" t="str">
        <f>IFERROR(__xludf.DUMMYFUNCTION("""COMPUTED_VALUE"""),"South")</f>
        <v>South</v>
      </c>
      <c r="F1488" s="26">
        <f>IFERROR(__xludf.DUMMYFUNCTION("""COMPUTED_VALUE"""),6.129)</f>
        <v>6.129</v>
      </c>
      <c r="G1488" s="26">
        <f>IFERROR(__xludf.DUMMYFUNCTION("""COMPUTED_VALUE"""),3.0)</f>
        <v>3</v>
      </c>
      <c r="H1488" s="26">
        <f>IFERROR(__xludf.DUMMYFUNCTION("""COMPUTED_VALUE"""),-4.4946)</f>
        <v>-4.4946</v>
      </c>
    </row>
    <row r="1489">
      <c r="A1489" s="26" t="str">
        <f>IFERROR(__xludf.DUMMYFUNCTION("""COMPUTED_VALUE"""),"CA-2015-141754")</f>
        <v>CA-2015-141754</v>
      </c>
      <c r="B1489" s="27">
        <f>IFERROR(__xludf.DUMMYFUNCTION("""COMPUTED_VALUE"""),42358.0)</f>
        <v>42358</v>
      </c>
      <c r="C1489" s="26" t="str">
        <f>IFERROR(__xludf.DUMMYFUNCTION("""COMPUTED_VALUE"""),"Evan Minnotte")</f>
        <v>Evan Minnotte</v>
      </c>
      <c r="D1489" s="26" t="str">
        <f>IFERROR(__xludf.DUMMYFUNCTION("""COMPUTED_VALUE"""),"Home Office")</f>
        <v>Home Office</v>
      </c>
      <c r="E1489" s="26" t="str">
        <f>IFERROR(__xludf.DUMMYFUNCTION("""COMPUTED_VALUE"""),"South")</f>
        <v>South</v>
      </c>
      <c r="F1489" s="26">
        <f>IFERROR(__xludf.DUMMYFUNCTION("""COMPUTED_VALUE"""),11.696)</f>
        <v>11.696</v>
      </c>
      <c r="G1489" s="26">
        <f>IFERROR(__xludf.DUMMYFUNCTION("""COMPUTED_VALUE"""),2.0)</f>
        <v>2</v>
      </c>
      <c r="H1489" s="26">
        <f>IFERROR(__xludf.DUMMYFUNCTION("""COMPUTED_VALUE"""),3.9474)</f>
        <v>3.9474</v>
      </c>
    </row>
    <row r="1490">
      <c r="A1490" s="26" t="str">
        <f>IFERROR(__xludf.DUMMYFUNCTION("""COMPUTED_VALUE"""),"CA-2015-118843")</f>
        <v>CA-2015-118843</v>
      </c>
      <c r="B1490" s="27">
        <f>IFERROR(__xludf.DUMMYFUNCTION("""COMPUTED_VALUE"""),42260.0)</f>
        <v>42260</v>
      </c>
      <c r="C1490" s="26" t="str">
        <f>IFERROR(__xludf.DUMMYFUNCTION("""COMPUTED_VALUE"""),"Jonathan Howell")</f>
        <v>Jonathan Howell</v>
      </c>
      <c r="D1490" s="26" t="str">
        <f>IFERROR(__xludf.DUMMYFUNCTION("""COMPUTED_VALUE"""),"Consumer")</f>
        <v>Consumer</v>
      </c>
      <c r="E1490" s="26" t="str">
        <f>IFERROR(__xludf.DUMMYFUNCTION("""COMPUTED_VALUE"""),"South")</f>
        <v>South</v>
      </c>
      <c r="F1490" s="26">
        <f>IFERROR(__xludf.DUMMYFUNCTION("""COMPUTED_VALUE"""),129.93)</f>
        <v>129.93</v>
      </c>
      <c r="G1490" s="26">
        <f>IFERROR(__xludf.DUMMYFUNCTION("""COMPUTED_VALUE"""),3.0)</f>
        <v>3</v>
      </c>
      <c r="H1490" s="26">
        <f>IFERROR(__xludf.DUMMYFUNCTION("""COMPUTED_VALUE"""),12.993)</f>
        <v>12.993</v>
      </c>
    </row>
    <row r="1491">
      <c r="A1491" s="26" t="str">
        <f>IFERROR(__xludf.DUMMYFUNCTION("""COMPUTED_VALUE"""),"CA-2015-161445")</f>
        <v>CA-2015-161445</v>
      </c>
      <c r="B1491" s="27">
        <f>IFERROR(__xludf.DUMMYFUNCTION("""COMPUTED_VALUE"""),42254.0)</f>
        <v>42254</v>
      </c>
      <c r="C1491" s="26" t="str">
        <f>IFERROR(__xludf.DUMMYFUNCTION("""COMPUTED_VALUE"""),"Corey Catlett")</f>
        <v>Corey Catlett</v>
      </c>
      <c r="D1491" s="26" t="str">
        <f>IFERROR(__xludf.DUMMYFUNCTION("""COMPUTED_VALUE"""),"Corporate")</f>
        <v>Corporate</v>
      </c>
      <c r="E1491" s="26" t="str">
        <f>IFERROR(__xludf.DUMMYFUNCTION("""COMPUTED_VALUE"""),"South")</f>
        <v>South</v>
      </c>
      <c r="F1491" s="26">
        <f>IFERROR(__xludf.DUMMYFUNCTION("""COMPUTED_VALUE"""),140.736)</f>
        <v>140.736</v>
      </c>
      <c r="G1491" s="26">
        <f>IFERROR(__xludf.DUMMYFUNCTION("""COMPUTED_VALUE"""),4.0)</f>
        <v>4</v>
      </c>
      <c r="H1491" s="26">
        <f>IFERROR(__xludf.DUMMYFUNCTION("""COMPUTED_VALUE"""),12.3144)</f>
        <v>12.3144</v>
      </c>
    </row>
    <row r="1492">
      <c r="A1492" s="26" t="str">
        <f>IFERROR(__xludf.DUMMYFUNCTION("""COMPUTED_VALUE"""),"CA-2015-154291")</f>
        <v>CA-2015-154291</v>
      </c>
      <c r="B1492" s="27">
        <f>IFERROR(__xludf.DUMMYFUNCTION("""COMPUTED_VALUE"""),42210.0)</f>
        <v>42210</v>
      </c>
      <c r="C1492" s="26" t="str">
        <f>IFERROR(__xludf.DUMMYFUNCTION("""COMPUTED_VALUE"""),"Yana Sorensen")</f>
        <v>Yana Sorensen</v>
      </c>
      <c r="D1492" s="26" t="str">
        <f>IFERROR(__xludf.DUMMYFUNCTION("""COMPUTED_VALUE"""),"Corporate")</f>
        <v>Corporate</v>
      </c>
      <c r="E1492" s="26" t="str">
        <f>IFERROR(__xludf.DUMMYFUNCTION("""COMPUTED_VALUE"""),"South")</f>
        <v>South</v>
      </c>
      <c r="F1492" s="26">
        <f>IFERROR(__xludf.DUMMYFUNCTION("""COMPUTED_VALUE"""),98.46)</f>
        <v>98.46</v>
      </c>
      <c r="G1492" s="26">
        <f>IFERROR(__xludf.DUMMYFUNCTION("""COMPUTED_VALUE"""),9.0)</f>
        <v>9</v>
      </c>
      <c r="H1492" s="26">
        <f>IFERROR(__xludf.DUMMYFUNCTION("""COMPUTED_VALUE"""),49.23)</f>
        <v>49.23</v>
      </c>
    </row>
    <row r="1493">
      <c r="A1493" s="26" t="str">
        <f>IFERROR(__xludf.DUMMYFUNCTION("""COMPUTED_VALUE"""),"CA-2015-104115")</f>
        <v>CA-2015-104115</v>
      </c>
      <c r="B1493" s="27">
        <f>IFERROR(__xludf.DUMMYFUNCTION("""COMPUTED_VALUE"""),42167.0)</f>
        <v>42167</v>
      </c>
      <c r="C1493" s="26" t="str">
        <f>IFERROR(__xludf.DUMMYFUNCTION("""COMPUTED_VALUE"""),"Jonathan Howell")</f>
        <v>Jonathan Howell</v>
      </c>
      <c r="D1493" s="26" t="str">
        <f>IFERROR(__xludf.DUMMYFUNCTION("""COMPUTED_VALUE"""),"Consumer")</f>
        <v>Consumer</v>
      </c>
      <c r="E1493" s="26" t="str">
        <f>IFERROR(__xludf.DUMMYFUNCTION("""COMPUTED_VALUE"""),"South")</f>
        <v>South</v>
      </c>
      <c r="F1493" s="26">
        <f>IFERROR(__xludf.DUMMYFUNCTION("""COMPUTED_VALUE"""),55.984)</f>
        <v>55.984</v>
      </c>
      <c r="G1493" s="26">
        <f>IFERROR(__xludf.DUMMYFUNCTION("""COMPUTED_VALUE"""),2.0)</f>
        <v>2</v>
      </c>
      <c r="H1493" s="26">
        <f>IFERROR(__xludf.DUMMYFUNCTION("""COMPUTED_VALUE"""),4.1988)</f>
        <v>4.1988</v>
      </c>
    </row>
    <row r="1494">
      <c r="A1494" s="26" t="str">
        <f>IFERROR(__xludf.DUMMYFUNCTION("""COMPUTED_VALUE"""),"CA-2015-134257")</f>
        <v>CA-2015-134257</v>
      </c>
      <c r="B1494" s="27">
        <f>IFERROR(__xludf.DUMMYFUNCTION("""COMPUTED_VALUE"""),42079.0)</f>
        <v>42079</v>
      </c>
      <c r="C1494" s="26" t="str">
        <f>IFERROR(__xludf.DUMMYFUNCTION("""COMPUTED_VALUE"""),"Maurice Satty")</f>
        <v>Maurice Satty</v>
      </c>
      <c r="D1494" s="26" t="str">
        <f>IFERROR(__xludf.DUMMYFUNCTION("""COMPUTED_VALUE"""),"Consumer")</f>
        <v>Consumer</v>
      </c>
      <c r="E1494" s="26" t="str">
        <f>IFERROR(__xludf.DUMMYFUNCTION("""COMPUTED_VALUE"""),"South")</f>
        <v>South</v>
      </c>
      <c r="F1494" s="26">
        <f>IFERROR(__xludf.DUMMYFUNCTION("""COMPUTED_VALUE"""),491.55)</f>
        <v>491.55</v>
      </c>
      <c r="G1494" s="26">
        <f>IFERROR(__xludf.DUMMYFUNCTION("""COMPUTED_VALUE"""),5.0)</f>
        <v>5</v>
      </c>
      <c r="H1494" s="26">
        <f>IFERROR(__xludf.DUMMYFUNCTION("""COMPUTED_VALUE"""),240.8595)</f>
        <v>240.8595</v>
      </c>
    </row>
    <row r="1495">
      <c r="A1495" s="26" t="str">
        <f>IFERROR(__xludf.DUMMYFUNCTION("""COMPUTED_VALUE"""),"CA-2015-109386")</f>
        <v>CA-2015-109386</v>
      </c>
      <c r="B1495" s="27">
        <f>IFERROR(__xludf.DUMMYFUNCTION("""COMPUTED_VALUE"""),42316.0)</f>
        <v>42316</v>
      </c>
      <c r="C1495" s="26" t="str">
        <f>IFERROR(__xludf.DUMMYFUNCTION("""COMPUTED_VALUE"""),"Rob Haberlin")</f>
        <v>Rob Haberlin</v>
      </c>
      <c r="D1495" s="26" t="str">
        <f>IFERROR(__xludf.DUMMYFUNCTION("""COMPUTED_VALUE"""),"Consumer")</f>
        <v>Consumer</v>
      </c>
      <c r="E1495" s="26" t="str">
        <f>IFERROR(__xludf.DUMMYFUNCTION("""COMPUTED_VALUE"""),"South")</f>
        <v>South</v>
      </c>
      <c r="F1495" s="26">
        <f>IFERROR(__xludf.DUMMYFUNCTION("""COMPUTED_VALUE"""),44.43)</f>
        <v>44.43</v>
      </c>
      <c r="G1495" s="26">
        <f>IFERROR(__xludf.DUMMYFUNCTION("""COMPUTED_VALUE"""),3.0)</f>
        <v>3</v>
      </c>
      <c r="H1495" s="26">
        <f>IFERROR(__xludf.DUMMYFUNCTION("""COMPUTED_VALUE"""),18.6606)</f>
        <v>18.6606</v>
      </c>
    </row>
    <row r="1496">
      <c r="A1496" s="26" t="str">
        <f>IFERROR(__xludf.DUMMYFUNCTION("""COMPUTED_VALUE"""),"CA-2015-119480")</f>
        <v>CA-2015-119480</v>
      </c>
      <c r="B1496" s="27">
        <f>IFERROR(__xludf.DUMMYFUNCTION("""COMPUTED_VALUE"""),42013.0)</f>
        <v>42013</v>
      </c>
      <c r="C1496" s="26" t="str">
        <f>IFERROR(__xludf.DUMMYFUNCTION("""COMPUTED_VALUE"""),"Craig Carroll")</f>
        <v>Craig Carroll</v>
      </c>
      <c r="D1496" s="26" t="str">
        <f>IFERROR(__xludf.DUMMYFUNCTION("""COMPUTED_VALUE"""),"Consumer")</f>
        <v>Consumer</v>
      </c>
      <c r="E1496" s="26" t="str">
        <f>IFERROR(__xludf.DUMMYFUNCTION("""COMPUTED_VALUE"""),"South")</f>
        <v>South</v>
      </c>
      <c r="F1496" s="26">
        <f>IFERROR(__xludf.DUMMYFUNCTION("""COMPUTED_VALUE"""),106.32)</f>
        <v>106.32</v>
      </c>
      <c r="G1496" s="26">
        <f>IFERROR(__xludf.DUMMYFUNCTION("""COMPUTED_VALUE"""),3.0)</f>
        <v>3</v>
      </c>
      <c r="H1496" s="26">
        <f>IFERROR(__xludf.DUMMYFUNCTION("""COMPUTED_VALUE"""),49.9704)</f>
        <v>49.9704</v>
      </c>
    </row>
    <row r="1497">
      <c r="A1497" s="26" t="str">
        <f>IFERROR(__xludf.DUMMYFUNCTION("""COMPUTED_VALUE"""),"CA-2015-163965")</f>
        <v>CA-2015-163965</v>
      </c>
      <c r="B1497" s="27">
        <f>IFERROR(__xludf.DUMMYFUNCTION("""COMPUTED_VALUE"""),42328.0)</f>
        <v>42328</v>
      </c>
      <c r="C1497" s="26" t="str">
        <f>IFERROR(__xludf.DUMMYFUNCTION("""COMPUTED_VALUE"""),"Sung Shariari")</f>
        <v>Sung Shariari</v>
      </c>
      <c r="D1497" s="26" t="str">
        <f>IFERROR(__xludf.DUMMYFUNCTION("""COMPUTED_VALUE"""),"Consumer")</f>
        <v>Consumer</v>
      </c>
      <c r="E1497" s="26" t="str">
        <f>IFERROR(__xludf.DUMMYFUNCTION("""COMPUTED_VALUE"""),"South")</f>
        <v>South</v>
      </c>
      <c r="F1497" s="26">
        <f>IFERROR(__xludf.DUMMYFUNCTION("""COMPUTED_VALUE"""),7.23)</f>
        <v>7.23</v>
      </c>
      <c r="G1497" s="26">
        <f>IFERROR(__xludf.DUMMYFUNCTION("""COMPUTED_VALUE"""),5.0)</f>
        <v>5</v>
      </c>
      <c r="H1497" s="26">
        <f>IFERROR(__xludf.DUMMYFUNCTION("""COMPUTED_VALUE"""),-5.784)</f>
        <v>-5.784</v>
      </c>
    </row>
    <row r="1498">
      <c r="A1498" s="26" t="str">
        <f>IFERROR(__xludf.DUMMYFUNCTION("""COMPUTED_VALUE"""),"US-2015-136749")</f>
        <v>US-2015-136749</v>
      </c>
      <c r="B1498" s="27">
        <f>IFERROR(__xludf.DUMMYFUNCTION("""COMPUTED_VALUE"""),42363.0)</f>
        <v>42363</v>
      </c>
      <c r="C1498" s="26" t="str">
        <f>IFERROR(__xludf.DUMMYFUNCTION("""COMPUTED_VALUE"""),"Lena Hernandez")</f>
        <v>Lena Hernandez</v>
      </c>
      <c r="D1498" s="26" t="str">
        <f>IFERROR(__xludf.DUMMYFUNCTION("""COMPUTED_VALUE"""),"Consumer")</f>
        <v>Consumer</v>
      </c>
      <c r="E1498" s="26" t="str">
        <f>IFERROR(__xludf.DUMMYFUNCTION("""COMPUTED_VALUE"""),"South")</f>
        <v>South</v>
      </c>
      <c r="F1498" s="26">
        <f>IFERROR(__xludf.DUMMYFUNCTION("""COMPUTED_VALUE"""),275.88)</f>
        <v>275.88</v>
      </c>
      <c r="G1498" s="26">
        <f>IFERROR(__xludf.DUMMYFUNCTION("""COMPUTED_VALUE"""),6.0)</f>
        <v>6</v>
      </c>
      <c r="H1498" s="26">
        <f>IFERROR(__xludf.DUMMYFUNCTION("""COMPUTED_VALUE"""),46.8996)</f>
        <v>46.8996</v>
      </c>
    </row>
    <row r="1499">
      <c r="A1499" s="26" t="str">
        <f>IFERROR(__xludf.DUMMYFUNCTION("""COMPUTED_VALUE"""),"CA-2015-162761")</f>
        <v>CA-2015-162761</v>
      </c>
      <c r="B1499" s="27">
        <f>IFERROR(__xludf.DUMMYFUNCTION("""COMPUTED_VALUE"""),42286.0)</f>
        <v>42286</v>
      </c>
      <c r="C1499" s="26" t="str">
        <f>IFERROR(__xludf.DUMMYFUNCTION("""COMPUTED_VALUE"""),"Sonia Cooley")</f>
        <v>Sonia Cooley</v>
      </c>
      <c r="D1499" s="26" t="str">
        <f>IFERROR(__xludf.DUMMYFUNCTION("""COMPUTED_VALUE"""),"Consumer")</f>
        <v>Consumer</v>
      </c>
      <c r="E1499" s="26" t="str">
        <f>IFERROR(__xludf.DUMMYFUNCTION("""COMPUTED_VALUE"""),"South")</f>
        <v>South</v>
      </c>
      <c r="F1499" s="26">
        <f>IFERROR(__xludf.DUMMYFUNCTION("""COMPUTED_VALUE"""),1.872)</f>
        <v>1.872</v>
      </c>
      <c r="G1499" s="26">
        <f>IFERROR(__xludf.DUMMYFUNCTION("""COMPUTED_VALUE"""),2.0)</f>
        <v>2</v>
      </c>
      <c r="H1499" s="26">
        <f>IFERROR(__xludf.DUMMYFUNCTION("""COMPUTED_VALUE"""),-1.3104)</f>
        <v>-1.3104</v>
      </c>
    </row>
    <row r="1500">
      <c r="A1500" s="26" t="str">
        <f>IFERROR(__xludf.DUMMYFUNCTION("""COMPUTED_VALUE"""),"CA-2015-125563")</f>
        <v>CA-2015-125563</v>
      </c>
      <c r="B1500" s="27">
        <f>IFERROR(__xludf.DUMMYFUNCTION("""COMPUTED_VALUE"""),42105.0)</f>
        <v>42105</v>
      </c>
      <c r="C1500" s="26" t="str">
        <f>IFERROR(__xludf.DUMMYFUNCTION("""COMPUTED_VALUE"""),"Patrick Ryan")</f>
        <v>Patrick Ryan</v>
      </c>
      <c r="D1500" s="26" t="str">
        <f>IFERROR(__xludf.DUMMYFUNCTION("""COMPUTED_VALUE"""),"Consumer")</f>
        <v>Consumer</v>
      </c>
      <c r="E1500" s="26" t="str">
        <f>IFERROR(__xludf.DUMMYFUNCTION("""COMPUTED_VALUE"""),"South")</f>
        <v>South</v>
      </c>
      <c r="F1500" s="26">
        <f>IFERROR(__xludf.DUMMYFUNCTION("""COMPUTED_VALUE"""),67.36)</f>
        <v>67.36</v>
      </c>
      <c r="G1500" s="26">
        <f>IFERROR(__xludf.DUMMYFUNCTION("""COMPUTED_VALUE"""),2.0)</f>
        <v>2</v>
      </c>
      <c r="H1500" s="26">
        <f>IFERROR(__xludf.DUMMYFUNCTION("""COMPUTED_VALUE"""),10.104)</f>
        <v>10.104</v>
      </c>
    </row>
    <row r="1501">
      <c r="A1501" s="26" t="str">
        <f>IFERROR(__xludf.DUMMYFUNCTION("""COMPUTED_VALUE"""),"CA-2015-110345")</f>
        <v>CA-2015-110345</v>
      </c>
      <c r="B1501" s="27">
        <f>IFERROR(__xludf.DUMMYFUNCTION("""COMPUTED_VALUE"""),42072.0)</f>
        <v>42072</v>
      </c>
      <c r="C1501" s="26" t="str">
        <f>IFERROR(__xludf.DUMMYFUNCTION("""COMPUTED_VALUE"""),"Toby Gnade")</f>
        <v>Toby Gnade</v>
      </c>
      <c r="D1501" s="26" t="str">
        <f>IFERROR(__xludf.DUMMYFUNCTION("""COMPUTED_VALUE"""),"Consumer")</f>
        <v>Consumer</v>
      </c>
      <c r="E1501" s="26" t="str">
        <f>IFERROR(__xludf.DUMMYFUNCTION("""COMPUTED_VALUE"""),"South")</f>
        <v>South</v>
      </c>
      <c r="F1501" s="26">
        <f>IFERROR(__xludf.DUMMYFUNCTION("""COMPUTED_VALUE"""),4.608)</f>
        <v>4.608</v>
      </c>
      <c r="G1501" s="26">
        <f>IFERROR(__xludf.DUMMYFUNCTION("""COMPUTED_VALUE"""),2.0)</f>
        <v>2</v>
      </c>
      <c r="H1501" s="26">
        <f>IFERROR(__xludf.DUMMYFUNCTION("""COMPUTED_VALUE"""),1.6704)</f>
        <v>1.6704</v>
      </c>
    </row>
    <row r="1502">
      <c r="A1502" s="26" t="str">
        <f>IFERROR(__xludf.DUMMYFUNCTION("""COMPUTED_VALUE"""),"CA-2015-136224")</f>
        <v>CA-2015-136224</v>
      </c>
      <c r="B1502" s="27">
        <f>IFERROR(__xludf.DUMMYFUNCTION("""COMPUTED_VALUE"""),42155.0)</f>
        <v>42155</v>
      </c>
      <c r="C1502" s="26" t="str">
        <f>IFERROR(__xludf.DUMMYFUNCTION("""COMPUTED_VALUE"""),"Muhammed Lee")</f>
        <v>Muhammed Lee</v>
      </c>
      <c r="D1502" s="26" t="str">
        <f>IFERROR(__xludf.DUMMYFUNCTION("""COMPUTED_VALUE"""),"Consumer")</f>
        <v>Consumer</v>
      </c>
      <c r="E1502" s="26" t="str">
        <f>IFERROR(__xludf.DUMMYFUNCTION("""COMPUTED_VALUE"""),"South")</f>
        <v>South</v>
      </c>
      <c r="F1502" s="26">
        <f>IFERROR(__xludf.DUMMYFUNCTION("""COMPUTED_VALUE"""),10.272)</f>
        <v>10.272</v>
      </c>
      <c r="G1502" s="26">
        <f>IFERROR(__xludf.DUMMYFUNCTION("""COMPUTED_VALUE"""),3.0)</f>
        <v>3</v>
      </c>
      <c r="H1502" s="26">
        <f>IFERROR(__xludf.DUMMYFUNCTION("""COMPUTED_VALUE"""),1.1556)</f>
        <v>1.1556</v>
      </c>
    </row>
    <row r="1503">
      <c r="A1503" s="26" t="str">
        <f>IFERROR(__xludf.DUMMYFUNCTION("""COMPUTED_VALUE"""),"CA-2015-137974")</f>
        <v>CA-2015-137974</v>
      </c>
      <c r="B1503" s="27">
        <f>IFERROR(__xludf.DUMMYFUNCTION("""COMPUTED_VALUE"""),42110.0)</f>
        <v>42110</v>
      </c>
      <c r="C1503" s="26" t="str">
        <f>IFERROR(__xludf.DUMMYFUNCTION("""COMPUTED_VALUE"""),"Lauren Leatherbury")</f>
        <v>Lauren Leatherbury</v>
      </c>
      <c r="D1503" s="26" t="str">
        <f>IFERROR(__xludf.DUMMYFUNCTION("""COMPUTED_VALUE"""),"Consumer")</f>
        <v>Consumer</v>
      </c>
      <c r="E1503" s="26" t="str">
        <f>IFERROR(__xludf.DUMMYFUNCTION("""COMPUTED_VALUE"""),"South")</f>
        <v>South</v>
      </c>
      <c r="F1503" s="26">
        <f>IFERROR(__xludf.DUMMYFUNCTION("""COMPUTED_VALUE"""),569.64)</f>
        <v>569.64</v>
      </c>
      <c r="G1503" s="26">
        <f>IFERROR(__xludf.DUMMYFUNCTION("""COMPUTED_VALUE"""),2.0)</f>
        <v>2</v>
      </c>
      <c r="H1503" s="26">
        <f>IFERROR(__xludf.DUMMYFUNCTION("""COMPUTED_VALUE"""),148.1064)</f>
        <v>148.1064</v>
      </c>
    </row>
    <row r="1504">
      <c r="A1504" s="26" t="str">
        <f>IFERROR(__xludf.DUMMYFUNCTION("""COMPUTED_VALUE"""),"CA-2015-121552")</f>
        <v>CA-2015-121552</v>
      </c>
      <c r="B1504" s="27">
        <f>IFERROR(__xludf.DUMMYFUNCTION("""COMPUTED_VALUE"""),42085.0)</f>
        <v>42085</v>
      </c>
      <c r="C1504" s="26" t="str">
        <f>IFERROR(__xludf.DUMMYFUNCTION("""COMPUTED_VALUE"""),"Fred Wasserman")</f>
        <v>Fred Wasserman</v>
      </c>
      <c r="D1504" s="26" t="str">
        <f>IFERROR(__xludf.DUMMYFUNCTION("""COMPUTED_VALUE"""),"Corporate")</f>
        <v>Corporate</v>
      </c>
      <c r="E1504" s="26" t="str">
        <f>IFERROR(__xludf.DUMMYFUNCTION("""COMPUTED_VALUE"""),"South")</f>
        <v>South</v>
      </c>
      <c r="F1504" s="26">
        <f>IFERROR(__xludf.DUMMYFUNCTION("""COMPUTED_VALUE"""),19.56)</f>
        <v>19.56</v>
      </c>
      <c r="G1504" s="26">
        <f>IFERROR(__xludf.DUMMYFUNCTION("""COMPUTED_VALUE"""),4.0)</f>
        <v>4</v>
      </c>
      <c r="H1504" s="26">
        <f>IFERROR(__xludf.DUMMYFUNCTION("""COMPUTED_VALUE"""),5.4768)</f>
        <v>5.4768</v>
      </c>
    </row>
    <row r="1505">
      <c r="A1505" s="26" t="str">
        <f>IFERROR(__xludf.DUMMYFUNCTION("""COMPUTED_VALUE"""),"CA-2015-133242")</f>
        <v>CA-2015-133242</v>
      </c>
      <c r="B1505" s="27">
        <f>IFERROR(__xludf.DUMMYFUNCTION("""COMPUTED_VALUE"""),42173.0)</f>
        <v>42173</v>
      </c>
      <c r="C1505" s="26" t="str">
        <f>IFERROR(__xludf.DUMMYFUNCTION("""COMPUTED_VALUE"""),"Keith Herrera")</f>
        <v>Keith Herrera</v>
      </c>
      <c r="D1505" s="26" t="str">
        <f>IFERROR(__xludf.DUMMYFUNCTION("""COMPUTED_VALUE"""),"Consumer")</f>
        <v>Consumer</v>
      </c>
      <c r="E1505" s="26" t="str">
        <f>IFERROR(__xludf.DUMMYFUNCTION("""COMPUTED_VALUE"""),"South")</f>
        <v>South</v>
      </c>
      <c r="F1505" s="26">
        <f>IFERROR(__xludf.DUMMYFUNCTION("""COMPUTED_VALUE"""),60.84)</f>
        <v>60.84</v>
      </c>
      <c r="G1505" s="26">
        <f>IFERROR(__xludf.DUMMYFUNCTION("""COMPUTED_VALUE"""),3.0)</f>
        <v>3</v>
      </c>
      <c r="H1505" s="26">
        <f>IFERROR(__xludf.DUMMYFUNCTION("""COMPUTED_VALUE"""),19.4688)</f>
        <v>19.4688</v>
      </c>
    </row>
    <row r="1506">
      <c r="A1506" s="26" t="str">
        <f>IFERROR(__xludf.DUMMYFUNCTION("""COMPUTED_VALUE"""),"CA-2015-158323")</f>
        <v>CA-2015-158323</v>
      </c>
      <c r="B1506" s="27">
        <f>IFERROR(__xludf.DUMMYFUNCTION("""COMPUTED_VALUE"""),42338.0)</f>
        <v>42338</v>
      </c>
      <c r="C1506" s="26" t="str">
        <f>IFERROR(__xludf.DUMMYFUNCTION("""COMPUTED_VALUE"""),"Ann Blume")</f>
        <v>Ann Blume</v>
      </c>
      <c r="D1506" s="26" t="str">
        <f>IFERROR(__xludf.DUMMYFUNCTION("""COMPUTED_VALUE"""),"Corporate")</f>
        <v>Corporate</v>
      </c>
      <c r="E1506" s="26" t="str">
        <f>IFERROR(__xludf.DUMMYFUNCTION("""COMPUTED_VALUE"""),"South")</f>
        <v>South</v>
      </c>
      <c r="F1506" s="26">
        <f>IFERROR(__xludf.DUMMYFUNCTION("""COMPUTED_VALUE"""),17.088)</f>
        <v>17.088</v>
      </c>
      <c r="G1506" s="26">
        <f>IFERROR(__xludf.DUMMYFUNCTION("""COMPUTED_VALUE"""),2.0)</f>
        <v>2</v>
      </c>
      <c r="H1506" s="26">
        <f>IFERROR(__xludf.DUMMYFUNCTION("""COMPUTED_VALUE"""),1.068)</f>
        <v>1.068</v>
      </c>
    </row>
    <row r="1507">
      <c r="A1507" s="26" t="str">
        <f>IFERROR(__xludf.DUMMYFUNCTION("""COMPUTED_VALUE"""),"CA-2015-103093")</f>
        <v>CA-2015-103093</v>
      </c>
      <c r="B1507" s="27">
        <f>IFERROR(__xludf.DUMMYFUNCTION("""COMPUTED_VALUE"""),42038.0)</f>
        <v>42038</v>
      </c>
      <c r="C1507" s="26" t="str">
        <f>IFERROR(__xludf.DUMMYFUNCTION("""COMPUTED_VALUE"""),"Frank Olsen")</f>
        <v>Frank Olsen</v>
      </c>
      <c r="D1507" s="26" t="str">
        <f>IFERROR(__xludf.DUMMYFUNCTION("""COMPUTED_VALUE"""),"Consumer")</f>
        <v>Consumer</v>
      </c>
      <c r="E1507" s="26" t="str">
        <f>IFERROR(__xludf.DUMMYFUNCTION("""COMPUTED_VALUE"""),"South")</f>
        <v>South</v>
      </c>
      <c r="F1507" s="26">
        <f>IFERROR(__xludf.DUMMYFUNCTION("""COMPUTED_VALUE"""),74.52)</f>
        <v>74.52</v>
      </c>
      <c r="G1507" s="26">
        <f>IFERROR(__xludf.DUMMYFUNCTION("""COMPUTED_VALUE"""),9.0)</f>
        <v>9</v>
      </c>
      <c r="H1507" s="26">
        <f>IFERROR(__xludf.DUMMYFUNCTION("""COMPUTED_VALUE"""),35.0244)</f>
        <v>35.0244</v>
      </c>
    </row>
    <row r="1508">
      <c r="A1508" s="26" t="str">
        <f>IFERROR(__xludf.DUMMYFUNCTION("""COMPUTED_VALUE"""),"CA-2015-102260")</f>
        <v>CA-2015-102260</v>
      </c>
      <c r="B1508" s="27">
        <f>IFERROR(__xludf.DUMMYFUNCTION("""COMPUTED_VALUE"""),42269.0)</f>
        <v>42269</v>
      </c>
      <c r="C1508" s="26" t="str">
        <f>IFERROR(__xludf.DUMMYFUNCTION("""COMPUTED_VALUE"""),"Sanjit Jacobs")</f>
        <v>Sanjit Jacobs</v>
      </c>
      <c r="D1508" s="26" t="str">
        <f>IFERROR(__xludf.DUMMYFUNCTION("""COMPUTED_VALUE"""),"Home Office")</f>
        <v>Home Office</v>
      </c>
      <c r="E1508" s="26" t="str">
        <f>IFERROR(__xludf.DUMMYFUNCTION("""COMPUTED_VALUE"""),"South")</f>
        <v>South</v>
      </c>
      <c r="F1508" s="26">
        <f>IFERROR(__xludf.DUMMYFUNCTION("""COMPUTED_VALUE"""),12.0)</f>
        <v>12</v>
      </c>
      <c r="G1508" s="26">
        <f>IFERROR(__xludf.DUMMYFUNCTION("""COMPUTED_VALUE"""),4.0)</f>
        <v>4</v>
      </c>
      <c r="H1508" s="26">
        <f>IFERROR(__xludf.DUMMYFUNCTION("""COMPUTED_VALUE"""),4.2)</f>
        <v>4.2</v>
      </c>
    </row>
    <row r="1509">
      <c r="A1509" s="26" t="str">
        <f>IFERROR(__xludf.DUMMYFUNCTION("""COMPUTED_VALUE"""),"CA-2015-128958")</f>
        <v>CA-2015-128958</v>
      </c>
      <c r="B1509" s="27">
        <f>IFERROR(__xludf.DUMMYFUNCTION("""COMPUTED_VALUE"""),42028.0)</f>
        <v>42028</v>
      </c>
      <c r="C1509" s="26" t="str">
        <f>IFERROR(__xludf.DUMMYFUNCTION("""COMPUTED_VALUE"""),"Cyra Reiten")</f>
        <v>Cyra Reiten</v>
      </c>
      <c r="D1509" s="26" t="str">
        <f>IFERROR(__xludf.DUMMYFUNCTION("""COMPUTED_VALUE"""),"Home Office")</f>
        <v>Home Office</v>
      </c>
      <c r="E1509" s="26" t="str">
        <f>IFERROR(__xludf.DUMMYFUNCTION("""COMPUTED_VALUE"""),"South")</f>
        <v>South</v>
      </c>
      <c r="F1509" s="26">
        <f>IFERROR(__xludf.DUMMYFUNCTION("""COMPUTED_VALUE"""),13.12)</f>
        <v>13.12</v>
      </c>
      <c r="G1509" s="26">
        <f>IFERROR(__xludf.DUMMYFUNCTION("""COMPUTED_VALUE"""),5.0)</f>
        <v>5</v>
      </c>
      <c r="H1509" s="26">
        <f>IFERROR(__xludf.DUMMYFUNCTION("""COMPUTED_VALUE"""),2.132)</f>
        <v>2.132</v>
      </c>
    </row>
    <row r="1510">
      <c r="A1510" s="26" t="str">
        <f>IFERROR(__xludf.DUMMYFUNCTION("""COMPUTED_VALUE"""),"CA-2015-125976")</f>
        <v>CA-2015-125976</v>
      </c>
      <c r="B1510" s="27">
        <f>IFERROR(__xludf.DUMMYFUNCTION("""COMPUTED_VALUE"""),42274.0)</f>
        <v>42274</v>
      </c>
      <c r="C1510" s="26" t="str">
        <f>IFERROR(__xludf.DUMMYFUNCTION("""COMPUTED_VALUE"""),"Jamie Kunitz")</f>
        <v>Jamie Kunitz</v>
      </c>
      <c r="D1510" s="26" t="str">
        <f>IFERROR(__xludf.DUMMYFUNCTION("""COMPUTED_VALUE"""),"Consumer")</f>
        <v>Consumer</v>
      </c>
      <c r="E1510" s="26" t="str">
        <f>IFERROR(__xludf.DUMMYFUNCTION("""COMPUTED_VALUE"""),"South")</f>
        <v>South</v>
      </c>
      <c r="F1510" s="26">
        <f>IFERROR(__xludf.DUMMYFUNCTION("""COMPUTED_VALUE"""),154.9)</f>
        <v>154.9</v>
      </c>
      <c r="G1510" s="26">
        <f>IFERROR(__xludf.DUMMYFUNCTION("""COMPUTED_VALUE"""),5.0)</f>
        <v>5</v>
      </c>
      <c r="H1510" s="26">
        <f>IFERROR(__xludf.DUMMYFUNCTION("""COMPUTED_VALUE"""),69.705)</f>
        <v>69.705</v>
      </c>
    </row>
    <row r="1511">
      <c r="A1511" s="26" t="str">
        <f>IFERROR(__xludf.DUMMYFUNCTION("""COMPUTED_VALUE"""),"CA-2015-148705")</f>
        <v>CA-2015-148705</v>
      </c>
      <c r="B1511" s="27">
        <f>IFERROR(__xludf.DUMMYFUNCTION("""COMPUTED_VALUE"""),42075.0)</f>
        <v>42075</v>
      </c>
      <c r="C1511" s="26" t="str">
        <f>IFERROR(__xludf.DUMMYFUNCTION("""COMPUTED_VALUE"""),"Evan Bailliet")</f>
        <v>Evan Bailliet</v>
      </c>
      <c r="D1511" s="26" t="str">
        <f>IFERROR(__xludf.DUMMYFUNCTION("""COMPUTED_VALUE"""),"Consumer")</f>
        <v>Consumer</v>
      </c>
      <c r="E1511" s="26" t="str">
        <f>IFERROR(__xludf.DUMMYFUNCTION("""COMPUTED_VALUE"""),"South")</f>
        <v>South</v>
      </c>
      <c r="F1511" s="26">
        <f>IFERROR(__xludf.DUMMYFUNCTION("""COMPUTED_VALUE"""),5.04)</f>
        <v>5.04</v>
      </c>
      <c r="G1511" s="26">
        <f>IFERROR(__xludf.DUMMYFUNCTION("""COMPUTED_VALUE"""),2.0)</f>
        <v>2</v>
      </c>
      <c r="H1511" s="26">
        <f>IFERROR(__xludf.DUMMYFUNCTION("""COMPUTED_VALUE"""),1.764)</f>
        <v>1.764</v>
      </c>
    </row>
    <row r="1512">
      <c r="A1512" s="26" t="str">
        <f>IFERROR(__xludf.DUMMYFUNCTION("""COMPUTED_VALUE"""),"CA-2015-106187")</f>
        <v>CA-2015-106187</v>
      </c>
      <c r="B1512" s="27">
        <f>IFERROR(__xludf.DUMMYFUNCTION("""COMPUTED_VALUE"""),42178.0)</f>
        <v>42178</v>
      </c>
      <c r="C1512" s="26" t="str">
        <f>IFERROR(__xludf.DUMMYFUNCTION("""COMPUTED_VALUE"""),"Randy Ferguson")</f>
        <v>Randy Ferguson</v>
      </c>
      <c r="D1512" s="26" t="str">
        <f>IFERROR(__xludf.DUMMYFUNCTION("""COMPUTED_VALUE"""),"Corporate")</f>
        <v>Corporate</v>
      </c>
      <c r="E1512" s="26" t="str">
        <f>IFERROR(__xludf.DUMMYFUNCTION("""COMPUTED_VALUE"""),"South")</f>
        <v>South</v>
      </c>
      <c r="F1512" s="26">
        <f>IFERROR(__xludf.DUMMYFUNCTION("""COMPUTED_VALUE"""),27.42)</f>
        <v>27.42</v>
      </c>
      <c r="G1512" s="26">
        <f>IFERROR(__xludf.DUMMYFUNCTION("""COMPUTED_VALUE"""),3.0)</f>
        <v>3</v>
      </c>
      <c r="H1512" s="26">
        <f>IFERROR(__xludf.DUMMYFUNCTION("""COMPUTED_VALUE"""),9.3228)</f>
        <v>9.3228</v>
      </c>
    </row>
    <row r="1513">
      <c r="A1513" s="26" t="str">
        <f>IFERROR(__xludf.DUMMYFUNCTION("""COMPUTED_VALUE"""),"CA-2015-141327")</f>
        <v>CA-2015-141327</v>
      </c>
      <c r="B1513" s="27">
        <f>IFERROR(__xludf.DUMMYFUNCTION("""COMPUTED_VALUE"""),42338.0)</f>
        <v>42338</v>
      </c>
      <c r="C1513" s="26" t="str">
        <f>IFERROR(__xludf.DUMMYFUNCTION("""COMPUTED_VALUE"""),"Lena Radford")</f>
        <v>Lena Radford</v>
      </c>
      <c r="D1513" s="26" t="str">
        <f>IFERROR(__xludf.DUMMYFUNCTION("""COMPUTED_VALUE"""),"Consumer")</f>
        <v>Consumer</v>
      </c>
      <c r="E1513" s="26" t="str">
        <f>IFERROR(__xludf.DUMMYFUNCTION("""COMPUTED_VALUE"""),"South")</f>
        <v>South</v>
      </c>
      <c r="F1513" s="26">
        <f>IFERROR(__xludf.DUMMYFUNCTION("""COMPUTED_VALUE"""),6.048)</f>
        <v>6.048</v>
      </c>
      <c r="G1513" s="26">
        <f>IFERROR(__xludf.DUMMYFUNCTION("""COMPUTED_VALUE"""),7.0)</f>
        <v>7</v>
      </c>
      <c r="H1513" s="26">
        <f>IFERROR(__xludf.DUMMYFUNCTION("""COMPUTED_VALUE"""),-4.2336)</f>
        <v>-4.2336</v>
      </c>
    </row>
    <row r="1514">
      <c r="A1514" s="26" t="str">
        <f>IFERROR(__xludf.DUMMYFUNCTION("""COMPUTED_VALUE"""),"CA-2015-122266")</f>
        <v>CA-2015-122266</v>
      </c>
      <c r="B1514" s="27">
        <f>IFERROR(__xludf.DUMMYFUNCTION("""COMPUTED_VALUE"""),42120.0)</f>
        <v>42120</v>
      </c>
      <c r="C1514" s="26" t="str">
        <f>IFERROR(__xludf.DUMMYFUNCTION("""COMPUTED_VALUE"""),"Sue Ann Reed")</f>
        <v>Sue Ann Reed</v>
      </c>
      <c r="D1514" s="26" t="str">
        <f>IFERROR(__xludf.DUMMYFUNCTION("""COMPUTED_VALUE"""),"Consumer")</f>
        <v>Consumer</v>
      </c>
      <c r="E1514" s="26" t="str">
        <f>IFERROR(__xludf.DUMMYFUNCTION("""COMPUTED_VALUE"""),"South")</f>
        <v>South</v>
      </c>
      <c r="F1514" s="26">
        <f>IFERROR(__xludf.DUMMYFUNCTION("""COMPUTED_VALUE"""),191.5155)</f>
        <v>191.5155</v>
      </c>
      <c r="G1514" s="26">
        <f>IFERROR(__xludf.DUMMYFUNCTION("""COMPUTED_VALUE"""),1.0)</f>
        <v>1</v>
      </c>
      <c r="H1514" s="26">
        <f>IFERROR(__xludf.DUMMYFUNCTION("""COMPUTED_VALUE"""),-76.6062)</f>
        <v>-76.6062</v>
      </c>
    </row>
    <row r="1515">
      <c r="A1515" s="26" t="str">
        <f>IFERROR(__xludf.DUMMYFUNCTION("""COMPUTED_VALUE"""),"CA-2015-141565")</f>
        <v>CA-2015-141565</v>
      </c>
      <c r="B1515" s="27">
        <f>IFERROR(__xludf.DUMMYFUNCTION("""COMPUTED_VALUE"""),42267.0)</f>
        <v>42267</v>
      </c>
      <c r="C1515" s="26" t="str">
        <f>IFERROR(__xludf.DUMMYFUNCTION("""COMPUTED_VALUE"""),"Barry Gonzalez")</f>
        <v>Barry Gonzalez</v>
      </c>
      <c r="D1515" s="26" t="str">
        <f>IFERROR(__xludf.DUMMYFUNCTION("""COMPUTED_VALUE"""),"Consumer")</f>
        <v>Consumer</v>
      </c>
      <c r="E1515" s="26" t="str">
        <f>IFERROR(__xludf.DUMMYFUNCTION("""COMPUTED_VALUE"""),"South")</f>
        <v>South</v>
      </c>
      <c r="F1515" s="26">
        <f>IFERROR(__xludf.DUMMYFUNCTION("""COMPUTED_VALUE"""),1369.764)</f>
        <v>1369.764</v>
      </c>
      <c r="G1515" s="26">
        <f>IFERROR(__xludf.DUMMYFUNCTION("""COMPUTED_VALUE"""),6.0)</f>
        <v>6</v>
      </c>
      <c r="H1515" s="26">
        <f>IFERROR(__xludf.DUMMYFUNCTION("""COMPUTED_VALUE"""),-913.176)</f>
        <v>-913.176</v>
      </c>
    </row>
    <row r="1516">
      <c r="A1516" s="26" t="str">
        <f>IFERROR(__xludf.DUMMYFUNCTION("""COMPUTED_VALUE"""),"CA-2015-120845")</f>
        <v>CA-2015-120845</v>
      </c>
      <c r="B1516" s="27">
        <f>IFERROR(__xludf.DUMMYFUNCTION("""COMPUTED_VALUE"""),42272.0)</f>
        <v>42272</v>
      </c>
      <c r="C1516" s="26" t="str">
        <f>IFERROR(__xludf.DUMMYFUNCTION("""COMPUTED_VALUE"""),"Marina Lichtenstein")</f>
        <v>Marina Lichtenstein</v>
      </c>
      <c r="D1516" s="26" t="str">
        <f>IFERROR(__xludf.DUMMYFUNCTION("""COMPUTED_VALUE"""),"Corporate")</f>
        <v>Corporate</v>
      </c>
      <c r="E1516" s="26" t="str">
        <f>IFERROR(__xludf.DUMMYFUNCTION("""COMPUTED_VALUE"""),"South")</f>
        <v>South</v>
      </c>
      <c r="F1516" s="26">
        <f>IFERROR(__xludf.DUMMYFUNCTION("""COMPUTED_VALUE"""),6.336)</f>
        <v>6.336</v>
      </c>
      <c r="G1516" s="26">
        <f>IFERROR(__xludf.DUMMYFUNCTION("""COMPUTED_VALUE"""),4.0)</f>
        <v>4</v>
      </c>
      <c r="H1516" s="26">
        <f>IFERROR(__xludf.DUMMYFUNCTION("""COMPUTED_VALUE"""),-4.6464)</f>
        <v>-4.6464</v>
      </c>
    </row>
    <row r="1517">
      <c r="A1517" s="26" t="str">
        <f>IFERROR(__xludf.DUMMYFUNCTION("""COMPUTED_VALUE"""),"CA-2015-138457")</f>
        <v>CA-2015-138457</v>
      </c>
      <c r="B1517" s="27">
        <f>IFERROR(__xludf.DUMMYFUNCTION("""COMPUTED_VALUE"""),42260.0)</f>
        <v>42260</v>
      </c>
      <c r="C1517" s="26" t="str">
        <f>IFERROR(__xludf.DUMMYFUNCTION("""COMPUTED_VALUE"""),"Anne McFarland")</f>
        <v>Anne McFarland</v>
      </c>
      <c r="D1517" s="26" t="str">
        <f>IFERROR(__xludf.DUMMYFUNCTION("""COMPUTED_VALUE"""),"Consumer")</f>
        <v>Consumer</v>
      </c>
      <c r="E1517" s="26" t="str">
        <f>IFERROR(__xludf.DUMMYFUNCTION("""COMPUTED_VALUE"""),"South")</f>
        <v>South</v>
      </c>
      <c r="F1517" s="26">
        <f>IFERROR(__xludf.DUMMYFUNCTION("""COMPUTED_VALUE"""),13.092)</f>
        <v>13.092</v>
      </c>
      <c r="G1517" s="26">
        <f>IFERROR(__xludf.DUMMYFUNCTION("""COMPUTED_VALUE"""),4.0)</f>
        <v>4</v>
      </c>
      <c r="H1517" s="26">
        <f>IFERROR(__xludf.DUMMYFUNCTION("""COMPUTED_VALUE"""),-10.0372)</f>
        <v>-10.0372</v>
      </c>
    </row>
    <row r="1518">
      <c r="A1518" s="26" t="str">
        <f>IFERROR(__xludf.DUMMYFUNCTION("""COMPUTED_VALUE"""),"US-2015-158911")</f>
        <v>US-2015-158911</v>
      </c>
      <c r="B1518" s="27">
        <f>IFERROR(__xludf.DUMMYFUNCTION("""COMPUTED_VALUE"""),42190.0)</f>
        <v>42190</v>
      </c>
      <c r="C1518" s="26" t="str">
        <f>IFERROR(__xludf.DUMMYFUNCTION("""COMPUTED_VALUE"""),"Roland Schwarz")</f>
        <v>Roland Schwarz</v>
      </c>
      <c r="D1518" s="26" t="str">
        <f>IFERROR(__xludf.DUMMYFUNCTION("""COMPUTED_VALUE"""),"Corporate")</f>
        <v>Corporate</v>
      </c>
      <c r="E1518" s="26" t="str">
        <f>IFERROR(__xludf.DUMMYFUNCTION("""COMPUTED_VALUE"""),"South")</f>
        <v>South</v>
      </c>
      <c r="F1518" s="26">
        <f>IFERROR(__xludf.DUMMYFUNCTION("""COMPUTED_VALUE"""),4.928)</f>
        <v>4.928</v>
      </c>
      <c r="G1518" s="26">
        <f>IFERROR(__xludf.DUMMYFUNCTION("""COMPUTED_VALUE"""),2.0)</f>
        <v>2</v>
      </c>
      <c r="H1518" s="26">
        <f>IFERROR(__xludf.DUMMYFUNCTION("""COMPUTED_VALUE"""),0.7392)</f>
        <v>0.7392</v>
      </c>
    </row>
    <row r="1519">
      <c r="A1519" s="26" t="str">
        <f>IFERROR(__xludf.DUMMYFUNCTION("""COMPUTED_VALUE"""),"CA-2015-169733")</f>
        <v>CA-2015-169733</v>
      </c>
      <c r="B1519" s="27">
        <f>IFERROR(__xludf.DUMMYFUNCTION("""COMPUTED_VALUE"""),42299.0)</f>
        <v>42299</v>
      </c>
      <c r="C1519" s="26" t="str">
        <f>IFERROR(__xludf.DUMMYFUNCTION("""COMPUTED_VALUE"""),"Gene McClure")</f>
        <v>Gene McClure</v>
      </c>
      <c r="D1519" s="26" t="str">
        <f>IFERROR(__xludf.DUMMYFUNCTION("""COMPUTED_VALUE"""),"Consumer")</f>
        <v>Consumer</v>
      </c>
      <c r="E1519" s="26" t="str">
        <f>IFERROR(__xludf.DUMMYFUNCTION("""COMPUTED_VALUE"""),"South")</f>
        <v>South</v>
      </c>
      <c r="F1519" s="26">
        <f>IFERROR(__xludf.DUMMYFUNCTION("""COMPUTED_VALUE"""),9.952)</f>
        <v>9.952</v>
      </c>
      <c r="G1519" s="26">
        <f>IFERROR(__xludf.DUMMYFUNCTION("""COMPUTED_VALUE"""),1.0)</f>
        <v>1</v>
      </c>
      <c r="H1519" s="26">
        <f>IFERROR(__xludf.DUMMYFUNCTION("""COMPUTED_VALUE"""),0.9952)</f>
        <v>0.9952</v>
      </c>
    </row>
    <row r="1520">
      <c r="A1520" s="26" t="str">
        <f>IFERROR(__xludf.DUMMYFUNCTION("""COMPUTED_VALUE"""),"CA-2015-122168")</f>
        <v>CA-2015-122168</v>
      </c>
      <c r="B1520" s="27">
        <f>IFERROR(__xludf.DUMMYFUNCTION("""COMPUTED_VALUE"""),42237.0)</f>
        <v>42237</v>
      </c>
      <c r="C1520" s="26" t="str">
        <f>IFERROR(__xludf.DUMMYFUNCTION("""COMPUTED_VALUE"""),"Henry Goldwyn")</f>
        <v>Henry Goldwyn</v>
      </c>
      <c r="D1520" s="26" t="str">
        <f>IFERROR(__xludf.DUMMYFUNCTION("""COMPUTED_VALUE"""),"Corporate")</f>
        <v>Corporate</v>
      </c>
      <c r="E1520" s="26" t="str">
        <f>IFERROR(__xludf.DUMMYFUNCTION("""COMPUTED_VALUE"""),"South")</f>
        <v>South</v>
      </c>
      <c r="F1520" s="26">
        <f>IFERROR(__xludf.DUMMYFUNCTION("""COMPUTED_VALUE"""),17.52)</f>
        <v>17.52</v>
      </c>
      <c r="G1520" s="26">
        <f>IFERROR(__xludf.DUMMYFUNCTION("""COMPUTED_VALUE"""),3.0)</f>
        <v>3</v>
      </c>
      <c r="H1520" s="26">
        <f>IFERROR(__xludf.DUMMYFUNCTION("""COMPUTED_VALUE"""),8.2344)</f>
        <v>8.2344</v>
      </c>
    </row>
    <row r="1521">
      <c r="A1521" s="26" t="str">
        <f>IFERROR(__xludf.DUMMYFUNCTION("""COMPUTED_VALUE"""),"CA-2015-169677")</f>
        <v>CA-2015-169677</v>
      </c>
      <c r="B1521" s="27">
        <f>IFERROR(__xludf.DUMMYFUNCTION("""COMPUTED_VALUE"""),42017.0)</f>
        <v>42017</v>
      </c>
      <c r="C1521" s="26" t="str">
        <f>IFERROR(__xludf.DUMMYFUNCTION("""COMPUTED_VALUE"""),"Karen Seio")</f>
        <v>Karen Seio</v>
      </c>
      <c r="D1521" s="26" t="str">
        <f>IFERROR(__xludf.DUMMYFUNCTION("""COMPUTED_VALUE"""),"Corporate")</f>
        <v>Corporate</v>
      </c>
      <c r="E1521" s="26" t="str">
        <f>IFERROR(__xludf.DUMMYFUNCTION("""COMPUTED_VALUE"""),"South")</f>
        <v>South</v>
      </c>
      <c r="F1521" s="26">
        <f>IFERROR(__xludf.DUMMYFUNCTION("""COMPUTED_VALUE"""),9.82)</f>
        <v>9.82</v>
      </c>
      <c r="G1521" s="26">
        <f>IFERROR(__xludf.DUMMYFUNCTION("""COMPUTED_VALUE"""),2.0)</f>
        <v>2</v>
      </c>
      <c r="H1521" s="26">
        <f>IFERROR(__xludf.DUMMYFUNCTION("""COMPUTED_VALUE"""),4.8118)</f>
        <v>4.8118</v>
      </c>
    </row>
    <row r="1522">
      <c r="A1522" s="26" t="str">
        <f>IFERROR(__xludf.DUMMYFUNCTION("""COMPUTED_VALUE"""),"CA-2015-117884")</f>
        <v>CA-2015-117884</v>
      </c>
      <c r="B1522" s="27">
        <f>IFERROR(__xludf.DUMMYFUNCTION("""COMPUTED_VALUE"""),42085.0)</f>
        <v>42085</v>
      </c>
      <c r="C1522" s="26" t="str">
        <f>IFERROR(__xludf.DUMMYFUNCTION("""COMPUTED_VALUE"""),"Debra Catini")</f>
        <v>Debra Catini</v>
      </c>
      <c r="D1522" s="26" t="str">
        <f>IFERROR(__xludf.DUMMYFUNCTION("""COMPUTED_VALUE"""),"Consumer")</f>
        <v>Consumer</v>
      </c>
      <c r="E1522" s="26" t="str">
        <f>IFERROR(__xludf.DUMMYFUNCTION("""COMPUTED_VALUE"""),"South")</f>
        <v>South</v>
      </c>
      <c r="F1522" s="26">
        <f>IFERROR(__xludf.DUMMYFUNCTION("""COMPUTED_VALUE"""),447.944)</f>
        <v>447.944</v>
      </c>
      <c r="G1522" s="26">
        <f>IFERROR(__xludf.DUMMYFUNCTION("""COMPUTED_VALUE"""),7.0)</f>
        <v>7</v>
      </c>
      <c r="H1522" s="26">
        <f>IFERROR(__xludf.DUMMYFUNCTION("""COMPUTED_VALUE"""),89.5888)</f>
        <v>89.5888</v>
      </c>
    </row>
    <row r="1523">
      <c r="A1523" s="26" t="str">
        <f>IFERROR(__xludf.DUMMYFUNCTION("""COMPUTED_VALUE"""),"CA-2015-136147")</f>
        <v>CA-2015-136147</v>
      </c>
      <c r="B1523" s="27">
        <f>IFERROR(__xludf.DUMMYFUNCTION("""COMPUTED_VALUE"""),42321.0)</f>
        <v>42321</v>
      </c>
      <c r="C1523" s="26" t="str">
        <f>IFERROR(__xludf.DUMMYFUNCTION("""COMPUTED_VALUE"""),"Fred McMath")</f>
        <v>Fred McMath</v>
      </c>
      <c r="D1523" s="26" t="str">
        <f>IFERROR(__xludf.DUMMYFUNCTION("""COMPUTED_VALUE"""),"Consumer")</f>
        <v>Consumer</v>
      </c>
      <c r="E1523" s="26" t="str">
        <f>IFERROR(__xludf.DUMMYFUNCTION("""COMPUTED_VALUE"""),"South")</f>
        <v>South</v>
      </c>
      <c r="F1523" s="26">
        <f>IFERROR(__xludf.DUMMYFUNCTION("""COMPUTED_VALUE"""),121.104)</f>
        <v>121.104</v>
      </c>
      <c r="G1523" s="26">
        <f>IFERROR(__xludf.DUMMYFUNCTION("""COMPUTED_VALUE"""),6.0)</f>
        <v>6</v>
      </c>
      <c r="H1523" s="26">
        <f>IFERROR(__xludf.DUMMYFUNCTION("""COMPUTED_VALUE"""),-100.92)</f>
        <v>-100.92</v>
      </c>
    </row>
    <row r="1524">
      <c r="A1524" s="26" t="str">
        <f>IFERROR(__xludf.DUMMYFUNCTION("""COMPUTED_VALUE"""),"CA-2015-108259")</f>
        <v>CA-2015-108259</v>
      </c>
      <c r="B1524" s="27">
        <f>IFERROR(__xludf.DUMMYFUNCTION("""COMPUTED_VALUE"""),42316.0)</f>
        <v>42316</v>
      </c>
      <c r="C1524" s="26" t="str">
        <f>IFERROR(__xludf.DUMMYFUNCTION("""COMPUTED_VALUE"""),"Noel Staavos")</f>
        <v>Noel Staavos</v>
      </c>
      <c r="D1524" s="26" t="str">
        <f>IFERROR(__xludf.DUMMYFUNCTION("""COMPUTED_VALUE"""),"Corporate")</f>
        <v>Corporate</v>
      </c>
      <c r="E1524" s="26" t="str">
        <f>IFERROR(__xludf.DUMMYFUNCTION("""COMPUTED_VALUE"""),"South")</f>
        <v>South</v>
      </c>
      <c r="F1524" s="26">
        <f>IFERROR(__xludf.DUMMYFUNCTION("""COMPUTED_VALUE"""),31.504)</f>
        <v>31.504</v>
      </c>
      <c r="G1524" s="26">
        <f>IFERROR(__xludf.DUMMYFUNCTION("""COMPUTED_VALUE"""),11.0)</f>
        <v>11</v>
      </c>
      <c r="H1524" s="26">
        <f>IFERROR(__xludf.DUMMYFUNCTION("""COMPUTED_VALUE"""),11.814)</f>
        <v>11.814</v>
      </c>
    </row>
    <row r="1525">
      <c r="A1525" s="26" t="str">
        <f>IFERROR(__xludf.DUMMYFUNCTION("""COMPUTED_VALUE"""),"US-2015-131842")</f>
        <v>US-2015-131842</v>
      </c>
      <c r="B1525" s="27">
        <f>IFERROR(__xludf.DUMMYFUNCTION("""COMPUTED_VALUE"""),42343.0)</f>
        <v>42343</v>
      </c>
      <c r="C1525" s="26" t="str">
        <f>IFERROR(__xludf.DUMMYFUNCTION("""COMPUTED_VALUE"""),"Rick Reed")</f>
        <v>Rick Reed</v>
      </c>
      <c r="D1525" s="26" t="str">
        <f>IFERROR(__xludf.DUMMYFUNCTION("""COMPUTED_VALUE"""),"Corporate")</f>
        <v>Corporate</v>
      </c>
      <c r="E1525" s="26" t="str">
        <f>IFERROR(__xludf.DUMMYFUNCTION("""COMPUTED_VALUE"""),"South")</f>
        <v>South</v>
      </c>
      <c r="F1525" s="26">
        <f>IFERROR(__xludf.DUMMYFUNCTION("""COMPUTED_VALUE"""),97.424)</f>
        <v>97.424</v>
      </c>
      <c r="G1525" s="26">
        <f>IFERROR(__xludf.DUMMYFUNCTION("""COMPUTED_VALUE"""),2.0)</f>
        <v>2</v>
      </c>
      <c r="H1525" s="26">
        <f>IFERROR(__xludf.DUMMYFUNCTION("""COMPUTED_VALUE"""),10.9602)</f>
        <v>10.9602</v>
      </c>
    </row>
    <row r="1526">
      <c r="A1526" s="26" t="str">
        <f>IFERROR(__xludf.DUMMYFUNCTION("""COMPUTED_VALUE"""),"CA-2015-103870")</f>
        <v>CA-2015-103870</v>
      </c>
      <c r="B1526" s="27">
        <f>IFERROR(__xludf.DUMMYFUNCTION("""COMPUTED_VALUE"""),42365.0)</f>
        <v>42365</v>
      </c>
      <c r="C1526" s="26" t="str">
        <f>IFERROR(__xludf.DUMMYFUNCTION("""COMPUTED_VALUE"""),"Sung Pak")</f>
        <v>Sung Pak</v>
      </c>
      <c r="D1526" s="26" t="str">
        <f>IFERROR(__xludf.DUMMYFUNCTION("""COMPUTED_VALUE"""),"Corporate")</f>
        <v>Corporate</v>
      </c>
      <c r="E1526" s="26" t="str">
        <f>IFERROR(__xludf.DUMMYFUNCTION("""COMPUTED_VALUE"""),"South")</f>
        <v>South</v>
      </c>
      <c r="F1526" s="26">
        <f>IFERROR(__xludf.DUMMYFUNCTION("""COMPUTED_VALUE"""),4.728)</f>
        <v>4.728</v>
      </c>
      <c r="G1526" s="26">
        <f>IFERROR(__xludf.DUMMYFUNCTION("""COMPUTED_VALUE"""),3.0)</f>
        <v>3</v>
      </c>
      <c r="H1526" s="26">
        <f>IFERROR(__xludf.DUMMYFUNCTION("""COMPUTED_VALUE"""),0.7092)</f>
        <v>0.7092</v>
      </c>
    </row>
    <row r="1527">
      <c r="A1527" s="26" t="str">
        <f>IFERROR(__xludf.DUMMYFUNCTION("""COMPUTED_VALUE"""),"CA-2015-169572")</f>
        <v>CA-2015-169572</v>
      </c>
      <c r="B1527" s="27">
        <f>IFERROR(__xludf.DUMMYFUNCTION("""COMPUTED_VALUE"""),42253.0)</f>
        <v>42253</v>
      </c>
      <c r="C1527" s="26" t="str">
        <f>IFERROR(__xludf.DUMMYFUNCTION("""COMPUTED_VALUE"""),"Andy Gerbode")</f>
        <v>Andy Gerbode</v>
      </c>
      <c r="D1527" s="26" t="str">
        <f>IFERROR(__xludf.DUMMYFUNCTION("""COMPUTED_VALUE"""),"Corporate")</f>
        <v>Corporate</v>
      </c>
      <c r="E1527" s="26" t="str">
        <f>IFERROR(__xludf.DUMMYFUNCTION("""COMPUTED_VALUE"""),"South")</f>
        <v>South</v>
      </c>
      <c r="F1527" s="26">
        <f>IFERROR(__xludf.DUMMYFUNCTION("""COMPUTED_VALUE"""),46.62)</f>
        <v>46.62</v>
      </c>
      <c r="G1527" s="26">
        <f>IFERROR(__xludf.DUMMYFUNCTION("""COMPUTED_VALUE"""),9.0)</f>
        <v>9</v>
      </c>
      <c r="H1527" s="26">
        <f>IFERROR(__xludf.DUMMYFUNCTION("""COMPUTED_VALUE"""),21.4452)</f>
        <v>21.4452</v>
      </c>
    </row>
    <row r="1528">
      <c r="A1528" s="26" t="str">
        <f>IFERROR(__xludf.DUMMYFUNCTION("""COMPUTED_VALUE"""),"CA-2015-145324")</f>
        <v>CA-2015-145324</v>
      </c>
      <c r="B1528" s="27">
        <f>IFERROR(__xludf.DUMMYFUNCTION("""COMPUTED_VALUE"""),42323.0)</f>
        <v>42323</v>
      </c>
      <c r="C1528" s="26" t="str">
        <f>IFERROR(__xludf.DUMMYFUNCTION("""COMPUTED_VALUE"""),"Duane Huffman")</f>
        <v>Duane Huffman</v>
      </c>
      <c r="D1528" s="26" t="str">
        <f>IFERROR(__xludf.DUMMYFUNCTION("""COMPUTED_VALUE"""),"Home Office")</f>
        <v>Home Office</v>
      </c>
      <c r="E1528" s="26" t="str">
        <f>IFERROR(__xludf.DUMMYFUNCTION("""COMPUTED_VALUE"""),"South")</f>
        <v>South</v>
      </c>
      <c r="F1528" s="26">
        <f>IFERROR(__xludf.DUMMYFUNCTION("""COMPUTED_VALUE"""),39.96)</f>
        <v>39.96</v>
      </c>
      <c r="G1528" s="26">
        <f>IFERROR(__xludf.DUMMYFUNCTION("""COMPUTED_VALUE"""),2.0)</f>
        <v>2</v>
      </c>
      <c r="H1528" s="26">
        <f>IFERROR(__xludf.DUMMYFUNCTION("""COMPUTED_VALUE"""),14.3856)</f>
        <v>14.3856</v>
      </c>
    </row>
    <row r="1529">
      <c r="A1529" s="26" t="str">
        <f>IFERROR(__xludf.DUMMYFUNCTION("""COMPUTED_VALUE"""),"CA-2015-140718")</f>
        <v>CA-2015-140718</v>
      </c>
      <c r="B1529" s="27">
        <f>IFERROR(__xludf.DUMMYFUNCTION("""COMPUTED_VALUE"""),42187.0)</f>
        <v>42187</v>
      </c>
      <c r="C1529" s="26" t="str">
        <f>IFERROR(__xludf.DUMMYFUNCTION("""COMPUTED_VALUE"""),"Frank Atkinson")</f>
        <v>Frank Atkinson</v>
      </c>
      <c r="D1529" s="26" t="str">
        <f>IFERROR(__xludf.DUMMYFUNCTION("""COMPUTED_VALUE"""),"Corporate")</f>
        <v>Corporate</v>
      </c>
      <c r="E1529" s="26" t="str">
        <f>IFERROR(__xludf.DUMMYFUNCTION("""COMPUTED_VALUE"""),"South")</f>
        <v>South</v>
      </c>
      <c r="F1529" s="26">
        <f>IFERROR(__xludf.DUMMYFUNCTION("""COMPUTED_VALUE"""),74.24)</f>
        <v>74.24</v>
      </c>
      <c r="G1529" s="26">
        <f>IFERROR(__xludf.DUMMYFUNCTION("""COMPUTED_VALUE"""),1.0)</f>
        <v>1</v>
      </c>
      <c r="H1529" s="26">
        <f>IFERROR(__xludf.DUMMYFUNCTION("""COMPUTED_VALUE"""),8.352)</f>
        <v>8.352</v>
      </c>
    </row>
    <row r="1530">
      <c r="A1530" s="26" t="str">
        <f>IFERROR(__xludf.DUMMYFUNCTION("""COMPUTED_VALUE"""),"CA-2015-158148")</f>
        <v>CA-2015-158148</v>
      </c>
      <c r="B1530" s="27">
        <f>IFERROR(__xludf.DUMMYFUNCTION("""COMPUTED_VALUE"""),42358.0)</f>
        <v>42358</v>
      </c>
      <c r="C1530" s="26" t="str">
        <f>IFERROR(__xludf.DUMMYFUNCTION("""COMPUTED_VALUE"""),"John Murray")</f>
        <v>John Murray</v>
      </c>
      <c r="D1530" s="26" t="str">
        <f>IFERROR(__xludf.DUMMYFUNCTION("""COMPUTED_VALUE"""),"Consumer")</f>
        <v>Consumer</v>
      </c>
      <c r="E1530" s="26" t="str">
        <f>IFERROR(__xludf.DUMMYFUNCTION("""COMPUTED_VALUE"""),"South")</f>
        <v>South</v>
      </c>
      <c r="F1530" s="26">
        <f>IFERROR(__xludf.DUMMYFUNCTION("""COMPUTED_VALUE"""),36.27)</f>
        <v>36.27</v>
      </c>
      <c r="G1530" s="26">
        <f>IFERROR(__xludf.DUMMYFUNCTION("""COMPUTED_VALUE"""),3.0)</f>
        <v>3</v>
      </c>
      <c r="H1530" s="26">
        <f>IFERROR(__xludf.DUMMYFUNCTION("""COMPUTED_VALUE"""),10.881)</f>
        <v>10.881</v>
      </c>
    </row>
    <row r="1531">
      <c r="A1531" s="26" t="str">
        <f>IFERROR(__xludf.DUMMYFUNCTION("""COMPUTED_VALUE"""),"CA-2015-163237")</f>
        <v>CA-2015-163237</v>
      </c>
      <c r="B1531" s="27">
        <f>IFERROR(__xludf.DUMMYFUNCTION("""COMPUTED_VALUE"""),42223.0)</f>
        <v>42223</v>
      </c>
      <c r="C1531" s="26" t="str">
        <f>IFERROR(__xludf.DUMMYFUNCTION("""COMPUTED_VALUE"""),"Eudokia Martin")</f>
        <v>Eudokia Martin</v>
      </c>
      <c r="D1531" s="26" t="str">
        <f>IFERROR(__xludf.DUMMYFUNCTION("""COMPUTED_VALUE"""),"Corporate")</f>
        <v>Corporate</v>
      </c>
      <c r="E1531" s="26" t="str">
        <f>IFERROR(__xludf.DUMMYFUNCTION("""COMPUTED_VALUE"""),"South")</f>
        <v>South</v>
      </c>
      <c r="F1531" s="26">
        <f>IFERROR(__xludf.DUMMYFUNCTION("""COMPUTED_VALUE"""),494.97)</f>
        <v>494.97</v>
      </c>
      <c r="G1531" s="26">
        <f>IFERROR(__xludf.DUMMYFUNCTION("""COMPUTED_VALUE"""),3.0)</f>
        <v>3</v>
      </c>
      <c r="H1531" s="26">
        <f>IFERROR(__xludf.DUMMYFUNCTION("""COMPUTED_VALUE"""),148.491)</f>
        <v>148.491</v>
      </c>
    </row>
    <row r="1532">
      <c r="A1532" s="26" t="str">
        <f>IFERROR(__xludf.DUMMYFUNCTION("""COMPUTED_VALUE"""),"CA-2015-123092")</f>
        <v>CA-2015-123092</v>
      </c>
      <c r="B1532" s="27">
        <f>IFERROR(__xludf.DUMMYFUNCTION("""COMPUTED_VALUE"""),42341.0)</f>
        <v>42341</v>
      </c>
      <c r="C1532" s="26" t="str">
        <f>IFERROR(__xludf.DUMMYFUNCTION("""COMPUTED_VALUE"""),"Jack Garza")</f>
        <v>Jack Garza</v>
      </c>
      <c r="D1532" s="26" t="str">
        <f>IFERROR(__xludf.DUMMYFUNCTION("""COMPUTED_VALUE"""),"Consumer")</f>
        <v>Consumer</v>
      </c>
      <c r="E1532" s="26" t="str">
        <f>IFERROR(__xludf.DUMMYFUNCTION("""COMPUTED_VALUE"""),"South")</f>
        <v>South</v>
      </c>
      <c r="F1532" s="26">
        <f>IFERROR(__xludf.DUMMYFUNCTION("""COMPUTED_VALUE"""),77.952)</f>
        <v>77.952</v>
      </c>
      <c r="G1532" s="26">
        <f>IFERROR(__xludf.DUMMYFUNCTION("""COMPUTED_VALUE"""),3.0)</f>
        <v>3</v>
      </c>
      <c r="H1532" s="26">
        <f>IFERROR(__xludf.DUMMYFUNCTION("""COMPUTED_VALUE"""),12.6672)</f>
        <v>12.6672</v>
      </c>
    </row>
    <row r="1533">
      <c r="A1533" s="26" t="str">
        <f>IFERROR(__xludf.DUMMYFUNCTION("""COMPUTED_VALUE"""),"CA-2015-104038")</f>
        <v>CA-2015-104038</v>
      </c>
      <c r="B1533" s="27">
        <f>IFERROR(__xludf.DUMMYFUNCTION("""COMPUTED_VALUE"""),42041.0)</f>
        <v>42041</v>
      </c>
      <c r="C1533" s="26" t="str">
        <f>IFERROR(__xludf.DUMMYFUNCTION("""COMPUTED_VALUE"""),"Lori Olson")</f>
        <v>Lori Olson</v>
      </c>
      <c r="D1533" s="26" t="str">
        <f>IFERROR(__xludf.DUMMYFUNCTION("""COMPUTED_VALUE"""),"Corporate")</f>
        <v>Corporate</v>
      </c>
      <c r="E1533" s="26" t="str">
        <f>IFERROR(__xludf.DUMMYFUNCTION("""COMPUTED_VALUE"""),"South")</f>
        <v>South</v>
      </c>
      <c r="F1533" s="26">
        <f>IFERROR(__xludf.DUMMYFUNCTION("""COMPUTED_VALUE"""),146.73)</f>
        <v>146.73</v>
      </c>
      <c r="G1533" s="26">
        <f>IFERROR(__xludf.DUMMYFUNCTION("""COMPUTED_VALUE"""),3.0)</f>
        <v>3</v>
      </c>
      <c r="H1533" s="26">
        <f>IFERROR(__xludf.DUMMYFUNCTION("""COMPUTED_VALUE"""),2.9346)</f>
        <v>2.9346</v>
      </c>
    </row>
    <row r="1534">
      <c r="A1534" s="26" t="str">
        <f>IFERROR(__xludf.DUMMYFUNCTION("""COMPUTED_VALUE"""),"CA-2015-150308")</f>
        <v>CA-2015-150308</v>
      </c>
      <c r="B1534" s="27">
        <f>IFERROR(__xludf.DUMMYFUNCTION("""COMPUTED_VALUE"""),42353.0)</f>
        <v>42353</v>
      </c>
      <c r="C1534" s="26" t="str">
        <f>IFERROR(__xludf.DUMMYFUNCTION("""COMPUTED_VALUE"""),"Rick Reed")</f>
        <v>Rick Reed</v>
      </c>
      <c r="D1534" s="26" t="str">
        <f>IFERROR(__xludf.DUMMYFUNCTION("""COMPUTED_VALUE"""),"Corporate")</f>
        <v>Corporate</v>
      </c>
      <c r="E1534" s="26" t="str">
        <f>IFERROR(__xludf.DUMMYFUNCTION("""COMPUTED_VALUE"""),"South")</f>
        <v>South</v>
      </c>
      <c r="F1534" s="26">
        <f>IFERROR(__xludf.DUMMYFUNCTION("""COMPUTED_VALUE"""),246.168)</f>
        <v>246.168</v>
      </c>
      <c r="G1534" s="26">
        <f>IFERROR(__xludf.DUMMYFUNCTION("""COMPUTED_VALUE"""),3.0)</f>
        <v>3</v>
      </c>
      <c r="H1534" s="26">
        <f>IFERROR(__xludf.DUMMYFUNCTION("""COMPUTED_VALUE"""),21.5397)</f>
        <v>21.5397</v>
      </c>
    </row>
    <row r="1535">
      <c r="A1535" s="26" t="str">
        <f>IFERROR(__xludf.DUMMYFUNCTION("""COMPUTED_VALUE"""),"CA-2015-102778")</f>
        <v>CA-2015-102778</v>
      </c>
      <c r="B1535" s="27">
        <f>IFERROR(__xludf.DUMMYFUNCTION("""COMPUTED_VALUE"""),42329.0)</f>
        <v>42329</v>
      </c>
      <c r="C1535" s="26" t="str">
        <f>IFERROR(__xludf.DUMMYFUNCTION("""COMPUTED_VALUE"""),"John Huston")</f>
        <v>John Huston</v>
      </c>
      <c r="D1535" s="26" t="str">
        <f>IFERROR(__xludf.DUMMYFUNCTION("""COMPUTED_VALUE"""),"Consumer")</f>
        <v>Consumer</v>
      </c>
      <c r="E1535" s="26" t="str">
        <f>IFERROR(__xludf.DUMMYFUNCTION("""COMPUTED_VALUE"""),"South")</f>
        <v>South</v>
      </c>
      <c r="F1535" s="26">
        <f>IFERROR(__xludf.DUMMYFUNCTION("""COMPUTED_VALUE"""),18.176)</f>
        <v>18.176</v>
      </c>
      <c r="G1535" s="26">
        <f>IFERROR(__xludf.DUMMYFUNCTION("""COMPUTED_VALUE"""),1.0)</f>
        <v>1</v>
      </c>
      <c r="H1535" s="26">
        <f>IFERROR(__xludf.DUMMYFUNCTION("""COMPUTED_VALUE"""),4.7712)</f>
        <v>4.7712</v>
      </c>
    </row>
    <row r="1536">
      <c r="A1536" s="26" t="str">
        <f>IFERROR(__xludf.DUMMYFUNCTION("""COMPUTED_VALUE"""),"CA-2015-167696")</f>
        <v>CA-2015-167696</v>
      </c>
      <c r="B1536" s="27">
        <f>IFERROR(__xludf.DUMMYFUNCTION("""COMPUTED_VALUE"""),42263.0)</f>
        <v>42263</v>
      </c>
      <c r="C1536" s="26" t="str">
        <f>IFERROR(__xludf.DUMMYFUNCTION("""COMPUTED_VALUE"""),"Bradley Drucker")</f>
        <v>Bradley Drucker</v>
      </c>
      <c r="D1536" s="26" t="str">
        <f>IFERROR(__xludf.DUMMYFUNCTION("""COMPUTED_VALUE"""),"Consumer")</f>
        <v>Consumer</v>
      </c>
      <c r="E1536" s="26" t="str">
        <f>IFERROR(__xludf.DUMMYFUNCTION("""COMPUTED_VALUE"""),"South")</f>
        <v>South</v>
      </c>
      <c r="F1536" s="26">
        <f>IFERROR(__xludf.DUMMYFUNCTION("""COMPUTED_VALUE"""),31.12)</f>
        <v>31.12</v>
      </c>
      <c r="G1536" s="26">
        <f>IFERROR(__xludf.DUMMYFUNCTION("""COMPUTED_VALUE"""),4.0)</f>
        <v>4</v>
      </c>
      <c r="H1536" s="26">
        <f>IFERROR(__xludf.DUMMYFUNCTION("""COMPUTED_VALUE"""),14.6264)</f>
        <v>14.6264</v>
      </c>
    </row>
    <row r="1537">
      <c r="A1537" s="26" t="str">
        <f>IFERROR(__xludf.DUMMYFUNCTION("""COMPUTED_VALUE"""),"CA-2015-163923")</f>
        <v>CA-2015-163923</v>
      </c>
      <c r="B1537" s="27">
        <f>IFERROR(__xludf.DUMMYFUNCTION("""COMPUTED_VALUE"""),42154.0)</f>
        <v>42154</v>
      </c>
      <c r="C1537" s="26" t="str">
        <f>IFERROR(__xludf.DUMMYFUNCTION("""COMPUTED_VALUE"""),"Brendan Dodson")</f>
        <v>Brendan Dodson</v>
      </c>
      <c r="D1537" s="26" t="str">
        <f>IFERROR(__xludf.DUMMYFUNCTION("""COMPUTED_VALUE"""),"Home Office")</f>
        <v>Home Office</v>
      </c>
      <c r="E1537" s="26" t="str">
        <f>IFERROR(__xludf.DUMMYFUNCTION("""COMPUTED_VALUE"""),"South")</f>
        <v>South</v>
      </c>
      <c r="F1537" s="26">
        <f>IFERROR(__xludf.DUMMYFUNCTION("""COMPUTED_VALUE"""),151.96)</f>
        <v>151.96</v>
      </c>
      <c r="G1537" s="26">
        <f>IFERROR(__xludf.DUMMYFUNCTION("""COMPUTED_VALUE"""),4.0)</f>
        <v>4</v>
      </c>
      <c r="H1537" s="26">
        <f>IFERROR(__xludf.DUMMYFUNCTION("""COMPUTED_VALUE"""),36.4704)</f>
        <v>36.4704</v>
      </c>
    </row>
    <row r="1538">
      <c r="A1538" s="26" t="str">
        <f>IFERROR(__xludf.DUMMYFUNCTION("""COMPUTED_VALUE"""),"CA-2015-138625")</f>
        <v>CA-2015-138625</v>
      </c>
      <c r="B1538" s="27">
        <f>IFERROR(__xludf.DUMMYFUNCTION("""COMPUTED_VALUE"""),42310.0)</f>
        <v>42310</v>
      </c>
      <c r="C1538" s="26" t="str">
        <f>IFERROR(__xludf.DUMMYFUNCTION("""COMPUTED_VALUE"""),"Emily Grady")</f>
        <v>Emily Grady</v>
      </c>
      <c r="D1538" s="26" t="str">
        <f>IFERROR(__xludf.DUMMYFUNCTION("""COMPUTED_VALUE"""),"Consumer")</f>
        <v>Consumer</v>
      </c>
      <c r="E1538" s="26" t="str">
        <f>IFERROR(__xludf.DUMMYFUNCTION("""COMPUTED_VALUE"""),"South")</f>
        <v>South</v>
      </c>
      <c r="F1538" s="26">
        <f>IFERROR(__xludf.DUMMYFUNCTION("""COMPUTED_VALUE"""),197.72)</f>
        <v>197.72</v>
      </c>
      <c r="G1538" s="26">
        <f>IFERROR(__xludf.DUMMYFUNCTION("""COMPUTED_VALUE"""),4.0)</f>
        <v>4</v>
      </c>
      <c r="H1538" s="26">
        <f>IFERROR(__xludf.DUMMYFUNCTION("""COMPUTED_VALUE"""),55.3616)</f>
        <v>55.3616</v>
      </c>
    </row>
    <row r="1539">
      <c r="A1539" s="26" t="str">
        <f>IFERROR(__xludf.DUMMYFUNCTION("""COMPUTED_VALUE"""),"CA-2015-116638")</f>
        <v>CA-2015-116638</v>
      </c>
      <c r="B1539" s="27">
        <f>IFERROR(__xludf.DUMMYFUNCTION("""COMPUTED_VALUE"""),42032.0)</f>
        <v>42032</v>
      </c>
      <c r="C1539" s="26" t="str">
        <f>IFERROR(__xludf.DUMMYFUNCTION("""COMPUTED_VALUE"""),"Joseph Holt")</f>
        <v>Joseph Holt</v>
      </c>
      <c r="D1539" s="26" t="str">
        <f>IFERROR(__xludf.DUMMYFUNCTION("""COMPUTED_VALUE"""),"Consumer")</f>
        <v>Consumer</v>
      </c>
      <c r="E1539" s="26" t="str">
        <f>IFERROR(__xludf.DUMMYFUNCTION("""COMPUTED_VALUE"""),"South")</f>
        <v>South</v>
      </c>
      <c r="F1539" s="26">
        <f>IFERROR(__xludf.DUMMYFUNCTION("""COMPUTED_VALUE"""),4297.644)</f>
        <v>4297.644</v>
      </c>
      <c r="G1539" s="26">
        <f>IFERROR(__xludf.DUMMYFUNCTION("""COMPUTED_VALUE"""),13.0)</f>
        <v>13</v>
      </c>
      <c r="H1539" s="26">
        <f>IFERROR(__xludf.DUMMYFUNCTION("""COMPUTED_VALUE"""),-1862.3124)</f>
        <v>-1862.3124</v>
      </c>
    </row>
    <row r="1540">
      <c r="A1540" s="26" t="str">
        <f>IFERROR(__xludf.DUMMYFUNCTION("""COMPUTED_VALUE"""),"CA-2015-133396")</f>
        <v>CA-2015-133396</v>
      </c>
      <c r="B1540" s="27">
        <f>IFERROR(__xludf.DUMMYFUNCTION("""COMPUTED_VALUE"""),42229.0)</f>
        <v>42229</v>
      </c>
      <c r="C1540" s="26" t="str">
        <f>IFERROR(__xludf.DUMMYFUNCTION("""COMPUTED_VALUE"""),"Grace Kelly")</f>
        <v>Grace Kelly</v>
      </c>
      <c r="D1540" s="26" t="str">
        <f>IFERROR(__xludf.DUMMYFUNCTION("""COMPUTED_VALUE"""),"Corporate")</f>
        <v>Corporate</v>
      </c>
      <c r="E1540" s="26" t="str">
        <f>IFERROR(__xludf.DUMMYFUNCTION("""COMPUTED_VALUE"""),"South")</f>
        <v>South</v>
      </c>
      <c r="F1540" s="26">
        <f>IFERROR(__xludf.DUMMYFUNCTION("""COMPUTED_VALUE"""),64.68)</f>
        <v>64.68</v>
      </c>
      <c r="G1540" s="26">
        <f>IFERROR(__xludf.DUMMYFUNCTION("""COMPUTED_VALUE"""),7.0)</f>
        <v>7</v>
      </c>
      <c r="H1540" s="26">
        <f>IFERROR(__xludf.DUMMYFUNCTION("""COMPUTED_VALUE"""),8.085)</f>
        <v>8.085</v>
      </c>
    </row>
    <row r="1541">
      <c r="A1541" s="26" t="str">
        <f>IFERROR(__xludf.DUMMYFUNCTION("""COMPUTED_VALUE"""),"CA-2015-155635")</f>
        <v>CA-2015-155635</v>
      </c>
      <c r="B1541" s="27">
        <f>IFERROR(__xludf.DUMMYFUNCTION("""COMPUTED_VALUE"""),42133.0)</f>
        <v>42133</v>
      </c>
      <c r="C1541" s="26" t="str">
        <f>IFERROR(__xludf.DUMMYFUNCTION("""COMPUTED_VALUE"""),"Max Engle")</f>
        <v>Max Engle</v>
      </c>
      <c r="D1541" s="26" t="str">
        <f>IFERROR(__xludf.DUMMYFUNCTION("""COMPUTED_VALUE"""),"Consumer")</f>
        <v>Consumer</v>
      </c>
      <c r="E1541" s="26" t="str">
        <f>IFERROR(__xludf.DUMMYFUNCTION("""COMPUTED_VALUE"""),"South")</f>
        <v>South</v>
      </c>
      <c r="F1541" s="26">
        <f>IFERROR(__xludf.DUMMYFUNCTION("""COMPUTED_VALUE"""),48.81)</f>
        <v>48.81</v>
      </c>
      <c r="G1541" s="26">
        <f>IFERROR(__xludf.DUMMYFUNCTION("""COMPUTED_VALUE"""),3.0)</f>
        <v>3</v>
      </c>
      <c r="H1541" s="26">
        <f>IFERROR(__xludf.DUMMYFUNCTION("""COMPUTED_VALUE"""),23.9169)</f>
        <v>23.9169</v>
      </c>
    </row>
    <row r="1542">
      <c r="A1542" s="26" t="str">
        <f>IFERROR(__xludf.DUMMYFUNCTION("""COMPUTED_VALUE"""),"CA-2015-162201")</f>
        <v>CA-2015-162201</v>
      </c>
      <c r="B1542" s="27">
        <f>IFERROR(__xludf.DUMMYFUNCTION("""COMPUTED_VALUE"""),42163.0)</f>
        <v>42163</v>
      </c>
      <c r="C1542" s="26" t="str">
        <f>IFERROR(__xludf.DUMMYFUNCTION("""COMPUTED_VALUE"""),"Andrew Gjertsen")</f>
        <v>Andrew Gjertsen</v>
      </c>
      <c r="D1542" s="26" t="str">
        <f>IFERROR(__xludf.DUMMYFUNCTION("""COMPUTED_VALUE"""),"Corporate")</f>
        <v>Corporate</v>
      </c>
      <c r="E1542" s="26" t="str">
        <f>IFERROR(__xludf.DUMMYFUNCTION("""COMPUTED_VALUE"""),"South")</f>
        <v>South</v>
      </c>
      <c r="F1542" s="26">
        <f>IFERROR(__xludf.DUMMYFUNCTION("""COMPUTED_VALUE"""),173.488)</f>
        <v>173.488</v>
      </c>
      <c r="G1542" s="26">
        <f>IFERROR(__xludf.DUMMYFUNCTION("""COMPUTED_VALUE"""),7.0)</f>
        <v>7</v>
      </c>
      <c r="H1542" s="26">
        <f>IFERROR(__xludf.DUMMYFUNCTION("""COMPUTED_VALUE"""),54.215)</f>
        <v>54.215</v>
      </c>
    </row>
    <row r="1543">
      <c r="A1543" s="26" t="str">
        <f>IFERROR(__xludf.DUMMYFUNCTION("""COMPUTED_VALUE"""),"CA-2015-103772")</f>
        <v>CA-2015-103772</v>
      </c>
      <c r="B1543" s="27">
        <f>IFERROR(__xludf.DUMMYFUNCTION("""COMPUTED_VALUE"""),42183.0)</f>
        <v>42183</v>
      </c>
      <c r="C1543" s="26" t="str">
        <f>IFERROR(__xludf.DUMMYFUNCTION("""COMPUTED_VALUE"""),"Mark Packer")</f>
        <v>Mark Packer</v>
      </c>
      <c r="D1543" s="26" t="str">
        <f>IFERROR(__xludf.DUMMYFUNCTION("""COMPUTED_VALUE"""),"Home Office")</f>
        <v>Home Office</v>
      </c>
      <c r="E1543" s="26" t="str">
        <f>IFERROR(__xludf.DUMMYFUNCTION("""COMPUTED_VALUE"""),"South")</f>
        <v>South</v>
      </c>
      <c r="F1543" s="26">
        <f>IFERROR(__xludf.DUMMYFUNCTION("""COMPUTED_VALUE"""),119.56)</f>
        <v>119.56</v>
      </c>
      <c r="G1543" s="26">
        <f>IFERROR(__xludf.DUMMYFUNCTION("""COMPUTED_VALUE"""),2.0)</f>
        <v>2</v>
      </c>
      <c r="H1543" s="26">
        <f>IFERROR(__xludf.DUMMYFUNCTION("""COMPUTED_VALUE"""),54.9976)</f>
        <v>54.9976</v>
      </c>
    </row>
    <row r="1544">
      <c r="A1544" s="26" t="str">
        <f>IFERROR(__xludf.DUMMYFUNCTION("""COMPUTED_VALUE"""),"US-2015-151435")</f>
        <v>US-2015-151435</v>
      </c>
      <c r="B1544" s="27">
        <f>IFERROR(__xludf.DUMMYFUNCTION("""COMPUTED_VALUE"""),42253.0)</f>
        <v>42253</v>
      </c>
      <c r="C1544" s="26" t="str">
        <f>IFERROR(__xludf.DUMMYFUNCTION("""COMPUTED_VALUE"""),"Shaun Weien")</f>
        <v>Shaun Weien</v>
      </c>
      <c r="D1544" s="26" t="str">
        <f>IFERROR(__xludf.DUMMYFUNCTION("""COMPUTED_VALUE"""),"Consumer")</f>
        <v>Consumer</v>
      </c>
      <c r="E1544" s="26" t="str">
        <f>IFERROR(__xludf.DUMMYFUNCTION("""COMPUTED_VALUE"""),"South")</f>
        <v>South</v>
      </c>
      <c r="F1544" s="26">
        <f>IFERROR(__xludf.DUMMYFUNCTION("""COMPUTED_VALUE"""),85.98)</f>
        <v>85.98</v>
      </c>
      <c r="G1544" s="26">
        <f>IFERROR(__xludf.DUMMYFUNCTION("""COMPUTED_VALUE"""),1.0)</f>
        <v>1</v>
      </c>
      <c r="H1544" s="26">
        <f>IFERROR(__xludf.DUMMYFUNCTION("""COMPUTED_VALUE"""),22.3548)</f>
        <v>22.3548</v>
      </c>
    </row>
    <row r="1545">
      <c r="A1545" s="26" t="str">
        <f>IFERROR(__xludf.DUMMYFUNCTION("""COMPUTED_VALUE"""),"CA-2014-105893")</f>
        <v>CA-2014-105893</v>
      </c>
      <c r="B1545" s="29">
        <f>IFERROR(__xludf.DUMMYFUNCTION("""COMPUTED_VALUE"""),41954.0)</f>
        <v>41954</v>
      </c>
      <c r="C1545" s="26" t="str">
        <f>IFERROR(__xludf.DUMMYFUNCTION("""COMPUTED_VALUE"""),"Consumer")</f>
        <v>Consumer</v>
      </c>
      <c r="D1545" s="26" t="str">
        <f>IFERROR(__xludf.DUMMYFUNCTION("""COMPUTED_VALUE"""),"Wisconsin")</f>
        <v>Wisconsin</v>
      </c>
      <c r="E1545" s="26" t="str">
        <f>IFERROR(__xludf.DUMMYFUNCTION("""COMPUTED_VALUE"""),"Central")</f>
        <v>Central</v>
      </c>
      <c r="F1545" s="26">
        <f>IFERROR(__xludf.DUMMYFUNCTION("""COMPUTED_VALUE"""),665.88)</f>
        <v>665.88</v>
      </c>
      <c r="G1545" s="26">
        <f>IFERROR(__xludf.DUMMYFUNCTION("""COMPUTED_VALUE"""),6.0)</f>
        <v>6</v>
      </c>
      <c r="H1545" s="26">
        <f>IFERROR(__xludf.DUMMYFUNCTION("""COMPUTED_VALUE"""),13.3176)</f>
        <v>13.3176</v>
      </c>
    </row>
    <row r="1546">
      <c r="A1546" s="26" t="str">
        <f>IFERROR(__xludf.DUMMYFUNCTION("""COMPUTED_VALUE"""),"CA-2014-146703")</f>
        <v>CA-2014-146703</v>
      </c>
      <c r="B1546" s="29">
        <f>IFERROR(__xludf.DUMMYFUNCTION("""COMPUTED_VALUE"""),41932.0)</f>
        <v>41932</v>
      </c>
      <c r="C1546" s="26" t="str">
        <f>IFERROR(__xludf.DUMMYFUNCTION("""COMPUTED_VALUE"""),"Consumer")</f>
        <v>Consumer</v>
      </c>
      <c r="D1546" s="26" t="str">
        <f>IFERROR(__xludf.DUMMYFUNCTION("""COMPUTED_VALUE"""),"Michigan")</f>
        <v>Michigan</v>
      </c>
      <c r="E1546" s="26" t="str">
        <f>IFERROR(__xludf.DUMMYFUNCTION("""COMPUTED_VALUE"""),"Central")</f>
        <v>Central</v>
      </c>
      <c r="F1546" s="26">
        <f>IFERROR(__xludf.DUMMYFUNCTION("""COMPUTED_VALUE"""),211.96)</f>
        <v>211.96</v>
      </c>
      <c r="G1546" s="26">
        <f>IFERROR(__xludf.DUMMYFUNCTION("""COMPUTED_VALUE"""),4.0)</f>
        <v>4</v>
      </c>
      <c r="H1546" s="26">
        <f>IFERROR(__xludf.DUMMYFUNCTION("""COMPUTED_VALUE"""),8.4784)</f>
        <v>8.4784</v>
      </c>
    </row>
    <row r="1547">
      <c r="A1547" s="26" t="str">
        <f>IFERROR(__xludf.DUMMYFUNCTION("""COMPUTED_VALUE"""),"US-2014-147606")</f>
        <v>US-2014-147606</v>
      </c>
      <c r="B1547" s="29">
        <f>IFERROR(__xludf.DUMMYFUNCTION("""COMPUTED_VALUE"""),41969.0)</f>
        <v>41969</v>
      </c>
      <c r="C1547" s="26" t="str">
        <f>IFERROR(__xludf.DUMMYFUNCTION("""COMPUTED_VALUE"""),"Consumer")</f>
        <v>Consumer</v>
      </c>
      <c r="D1547" s="26" t="str">
        <f>IFERROR(__xludf.DUMMYFUNCTION("""COMPUTED_VALUE"""),"Texas")</f>
        <v>Texas</v>
      </c>
      <c r="E1547" s="26" t="str">
        <f>IFERROR(__xludf.DUMMYFUNCTION("""COMPUTED_VALUE"""),"Central")</f>
        <v>Central</v>
      </c>
      <c r="F1547" s="26">
        <f>IFERROR(__xludf.DUMMYFUNCTION("""COMPUTED_VALUE"""),19.3)</f>
        <v>19.3</v>
      </c>
      <c r="G1547" s="26">
        <f>IFERROR(__xludf.DUMMYFUNCTION("""COMPUTED_VALUE"""),5.0)</f>
        <v>5</v>
      </c>
      <c r="H1547" s="26">
        <f>IFERROR(__xludf.DUMMYFUNCTION("""COMPUTED_VALUE"""),-14.475)</f>
        <v>-14.475</v>
      </c>
    </row>
    <row r="1548">
      <c r="A1548" s="26" t="str">
        <f>IFERROR(__xludf.DUMMYFUNCTION("""COMPUTED_VALUE"""),"US-2014-152030")</f>
        <v>US-2014-152030</v>
      </c>
      <c r="B1548" s="29">
        <f>IFERROR(__xludf.DUMMYFUNCTION("""COMPUTED_VALUE"""),41999.0)</f>
        <v>41999</v>
      </c>
      <c r="C1548" s="26" t="str">
        <f>IFERROR(__xludf.DUMMYFUNCTION("""COMPUTED_VALUE"""),"Home Office")</f>
        <v>Home Office</v>
      </c>
      <c r="D1548" s="26" t="str">
        <f>IFERROR(__xludf.DUMMYFUNCTION("""COMPUTED_VALUE"""),"Texas")</f>
        <v>Texas</v>
      </c>
      <c r="E1548" s="26" t="str">
        <f>IFERROR(__xludf.DUMMYFUNCTION("""COMPUTED_VALUE"""),"Central")</f>
        <v>Central</v>
      </c>
      <c r="F1548" s="26">
        <f>IFERROR(__xludf.DUMMYFUNCTION("""COMPUTED_VALUE"""),600.558)</f>
        <v>600.558</v>
      </c>
      <c r="G1548" s="26">
        <f>IFERROR(__xludf.DUMMYFUNCTION("""COMPUTED_VALUE"""),3.0)</f>
        <v>3</v>
      </c>
      <c r="H1548" s="26">
        <f>IFERROR(__xludf.DUMMYFUNCTION("""COMPUTED_VALUE"""),-8.5794)</f>
        <v>-8.5794</v>
      </c>
    </row>
    <row r="1549">
      <c r="A1549" s="26" t="str">
        <f>IFERROR(__xludf.DUMMYFUNCTION("""COMPUTED_VALUE"""),"US-2014-134614")</f>
        <v>US-2014-134614</v>
      </c>
      <c r="B1549" s="27">
        <f>IFERROR(__xludf.DUMMYFUNCTION("""COMPUTED_VALUE"""),41902.0)</f>
        <v>41902</v>
      </c>
      <c r="C1549" s="26" t="str">
        <f>IFERROR(__xludf.DUMMYFUNCTION("""COMPUTED_VALUE"""),"Consumer")</f>
        <v>Consumer</v>
      </c>
      <c r="D1549" s="26" t="str">
        <f>IFERROR(__xludf.DUMMYFUNCTION("""COMPUTED_VALUE"""),"Illinois")</f>
        <v>Illinois</v>
      </c>
      <c r="E1549" s="26" t="str">
        <f>IFERROR(__xludf.DUMMYFUNCTION("""COMPUTED_VALUE"""),"Central")</f>
        <v>Central</v>
      </c>
      <c r="F1549" s="26">
        <f>IFERROR(__xludf.DUMMYFUNCTION("""COMPUTED_VALUE"""),617.7)</f>
        <v>617.7</v>
      </c>
      <c r="G1549" s="26">
        <f>IFERROR(__xludf.DUMMYFUNCTION("""COMPUTED_VALUE"""),6.0)</f>
        <v>6</v>
      </c>
      <c r="H1549" s="26">
        <f>IFERROR(__xludf.DUMMYFUNCTION("""COMPUTED_VALUE"""),-407.682)</f>
        <v>-407.682</v>
      </c>
    </row>
    <row r="1550">
      <c r="A1550" s="26" t="str">
        <f>IFERROR(__xludf.DUMMYFUNCTION("""COMPUTED_VALUE"""),"CA-2014-139892")</f>
        <v>CA-2014-139892</v>
      </c>
      <c r="B1550" s="27">
        <f>IFERROR(__xludf.DUMMYFUNCTION("""COMPUTED_VALUE"""),41890.0)</f>
        <v>41890</v>
      </c>
      <c r="C1550" s="26" t="str">
        <f>IFERROR(__xludf.DUMMYFUNCTION("""COMPUTED_VALUE"""),"Consumer")</f>
        <v>Consumer</v>
      </c>
      <c r="D1550" s="26" t="str">
        <f>IFERROR(__xludf.DUMMYFUNCTION("""COMPUTED_VALUE"""),"Texas")</f>
        <v>Texas</v>
      </c>
      <c r="E1550" s="26" t="str">
        <f>IFERROR(__xludf.DUMMYFUNCTION("""COMPUTED_VALUE"""),"Central")</f>
        <v>Central</v>
      </c>
      <c r="F1550" s="26">
        <f>IFERROR(__xludf.DUMMYFUNCTION("""COMPUTED_VALUE"""),9.936)</f>
        <v>9.936</v>
      </c>
      <c r="G1550" s="26">
        <f>IFERROR(__xludf.DUMMYFUNCTION("""COMPUTED_VALUE"""),3.0)</f>
        <v>3</v>
      </c>
      <c r="H1550" s="26">
        <f>IFERROR(__xludf.DUMMYFUNCTION("""COMPUTED_VALUE"""),2.7324)</f>
        <v>2.7324</v>
      </c>
    </row>
    <row r="1551">
      <c r="A1551" s="26" t="str">
        <f>IFERROR(__xludf.DUMMYFUNCTION("""COMPUTED_VALUE"""),"US-2014-100853")</f>
        <v>US-2014-100853</v>
      </c>
      <c r="B1551" s="27">
        <f>IFERROR(__xludf.DUMMYFUNCTION("""COMPUTED_VALUE"""),41896.0)</f>
        <v>41896</v>
      </c>
      <c r="C1551" s="26" t="str">
        <f>IFERROR(__xludf.DUMMYFUNCTION("""COMPUTED_VALUE"""),"Corporate")</f>
        <v>Corporate</v>
      </c>
      <c r="D1551" s="26" t="str">
        <f>IFERROR(__xludf.DUMMYFUNCTION("""COMPUTED_VALUE"""),"Illinois")</f>
        <v>Illinois</v>
      </c>
      <c r="E1551" s="26" t="str">
        <f>IFERROR(__xludf.DUMMYFUNCTION("""COMPUTED_VALUE"""),"Central")</f>
        <v>Central</v>
      </c>
      <c r="F1551" s="26">
        <f>IFERROR(__xludf.DUMMYFUNCTION("""COMPUTED_VALUE"""),52.448)</f>
        <v>52.448</v>
      </c>
      <c r="G1551" s="26">
        <f>IFERROR(__xludf.DUMMYFUNCTION("""COMPUTED_VALUE"""),2.0)</f>
        <v>2</v>
      </c>
      <c r="H1551" s="26">
        <f>IFERROR(__xludf.DUMMYFUNCTION("""COMPUTED_VALUE"""),-131.12)</f>
        <v>-131.12</v>
      </c>
    </row>
    <row r="1552">
      <c r="A1552" s="26" t="str">
        <f>IFERROR(__xludf.DUMMYFUNCTION("""COMPUTED_VALUE"""),"CA-2014-166191")</f>
        <v>CA-2014-166191</v>
      </c>
      <c r="B1552" s="27">
        <f>IFERROR(__xludf.DUMMYFUNCTION("""COMPUTED_VALUE"""),41978.0)</f>
        <v>41978</v>
      </c>
      <c r="C1552" s="26" t="str">
        <f>IFERROR(__xludf.DUMMYFUNCTION("""COMPUTED_VALUE"""),"Corporate")</f>
        <v>Corporate</v>
      </c>
      <c r="D1552" s="26" t="str">
        <f>IFERROR(__xludf.DUMMYFUNCTION("""COMPUTED_VALUE"""),"Illinois")</f>
        <v>Illinois</v>
      </c>
      <c r="E1552" s="26" t="str">
        <f>IFERROR(__xludf.DUMMYFUNCTION("""COMPUTED_VALUE"""),"Central")</f>
        <v>Central</v>
      </c>
      <c r="F1552" s="26">
        <f>IFERROR(__xludf.DUMMYFUNCTION("""COMPUTED_VALUE"""),24.816)</f>
        <v>24.816</v>
      </c>
      <c r="G1552" s="26">
        <f>IFERROR(__xludf.DUMMYFUNCTION("""COMPUTED_VALUE"""),2.0)</f>
        <v>2</v>
      </c>
      <c r="H1552" s="26">
        <f>IFERROR(__xludf.DUMMYFUNCTION("""COMPUTED_VALUE"""),1.8612)</f>
        <v>1.8612</v>
      </c>
    </row>
    <row r="1553">
      <c r="A1553" s="26" t="str">
        <f>IFERROR(__xludf.DUMMYFUNCTION("""COMPUTED_VALUE"""),"CA-2014-131926")</f>
        <v>CA-2014-131926</v>
      </c>
      <c r="B1553" s="27">
        <f>IFERROR(__xludf.DUMMYFUNCTION("""COMPUTED_VALUE"""),41791.0)</f>
        <v>41791</v>
      </c>
      <c r="C1553" s="26" t="str">
        <f>IFERROR(__xludf.DUMMYFUNCTION("""COMPUTED_VALUE"""),"Home Office")</f>
        <v>Home Office</v>
      </c>
      <c r="D1553" s="26" t="str">
        <f>IFERROR(__xludf.DUMMYFUNCTION("""COMPUTED_VALUE"""),"Minnesota")</f>
        <v>Minnesota</v>
      </c>
      <c r="E1553" s="26" t="str">
        <f>IFERROR(__xludf.DUMMYFUNCTION("""COMPUTED_VALUE"""),"Central")</f>
        <v>Central</v>
      </c>
      <c r="F1553" s="26">
        <f>IFERROR(__xludf.DUMMYFUNCTION("""COMPUTED_VALUE"""),2001.86)</f>
        <v>2001.86</v>
      </c>
      <c r="G1553" s="26">
        <f>IFERROR(__xludf.DUMMYFUNCTION("""COMPUTED_VALUE"""),7.0)</f>
        <v>7</v>
      </c>
      <c r="H1553" s="26">
        <f>IFERROR(__xludf.DUMMYFUNCTION("""COMPUTED_VALUE"""),580.5394)</f>
        <v>580.5394</v>
      </c>
    </row>
    <row r="1554">
      <c r="A1554" s="26" t="str">
        <f>IFERROR(__xludf.DUMMYFUNCTION("""COMPUTED_VALUE"""),"US-2014-106992")</f>
        <v>US-2014-106992</v>
      </c>
      <c r="B1554" s="27">
        <f>IFERROR(__xludf.DUMMYFUNCTION("""COMPUTED_VALUE"""),41901.0)</f>
        <v>41901</v>
      </c>
      <c r="C1554" s="26" t="str">
        <f>IFERROR(__xludf.DUMMYFUNCTION("""COMPUTED_VALUE"""),"Corporate")</f>
        <v>Corporate</v>
      </c>
      <c r="D1554" s="26" t="str">
        <f>IFERROR(__xludf.DUMMYFUNCTION("""COMPUTED_VALUE"""),"Texas")</f>
        <v>Texas</v>
      </c>
      <c r="E1554" s="26" t="str">
        <f>IFERROR(__xludf.DUMMYFUNCTION("""COMPUTED_VALUE"""),"Central")</f>
        <v>Central</v>
      </c>
      <c r="F1554" s="26">
        <f>IFERROR(__xludf.DUMMYFUNCTION("""COMPUTED_VALUE"""),3059.982)</f>
        <v>3059.982</v>
      </c>
      <c r="G1554" s="26">
        <f>IFERROR(__xludf.DUMMYFUNCTION("""COMPUTED_VALUE"""),3.0)</f>
        <v>3</v>
      </c>
      <c r="H1554" s="26">
        <f>IFERROR(__xludf.DUMMYFUNCTION("""COMPUTED_VALUE"""),-509.997)</f>
        <v>-509.997</v>
      </c>
    </row>
    <row r="1555">
      <c r="A1555" s="26" t="str">
        <f>IFERROR(__xludf.DUMMYFUNCTION("""COMPUTED_VALUE"""),"CA-2014-130960")</f>
        <v>CA-2014-130960</v>
      </c>
      <c r="B1555" s="29">
        <f>IFERROR(__xludf.DUMMYFUNCTION("""COMPUTED_VALUE"""),42003.0)</f>
        <v>42003</v>
      </c>
      <c r="C1555" s="26" t="str">
        <f>IFERROR(__xludf.DUMMYFUNCTION("""COMPUTED_VALUE"""),"Corporate")</f>
        <v>Corporate</v>
      </c>
      <c r="D1555" s="26" t="str">
        <f>IFERROR(__xludf.DUMMYFUNCTION("""COMPUTED_VALUE"""),"Michigan")</f>
        <v>Michigan</v>
      </c>
      <c r="E1555" s="26" t="str">
        <f>IFERROR(__xludf.DUMMYFUNCTION("""COMPUTED_VALUE"""),"Central")</f>
        <v>Central</v>
      </c>
      <c r="F1555" s="26">
        <f>IFERROR(__xludf.DUMMYFUNCTION("""COMPUTED_VALUE"""),9.84)</f>
        <v>9.84</v>
      </c>
      <c r="G1555" s="26">
        <f>IFERROR(__xludf.DUMMYFUNCTION("""COMPUTED_VALUE"""),3.0)</f>
        <v>3</v>
      </c>
      <c r="H1555" s="26">
        <f>IFERROR(__xludf.DUMMYFUNCTION("""COMPUTED_VALUE"""),2.8536)</f>
        <v>2.8536</v>
      </c>
    </row>
    <row r="1556">
      <c r="A1556" s="26" t="str">
        <f>IFERROR(__xludf.DUMMYFUNCTION("""COMPUTED_VALUE"""),"US-2014-134971")</f>
        <v>US-2014-134971</v>
      </c>
      <c r="B1556" s="27">
        <f>IFERROR(__xludf.DUMMYFUNCTION("""COMPUTED_VALUE"""),41797.0)</f>
        <v>41797</v>
      </c>
      <c r="C1556" s="26" t="str">
        <f>IFERROR(__xludf.DUMMYFUNCTION("""COMPUTED_VALUE"""),"Corporate")</f>
        <v>Corporate</v>
      </c>
      <c r="D1556" s="26" t="str">
        <f>IFERROR(__xludf.DUMMYFUNCTION("""COMPUTED_VALUE"""),"Illinois")</f>
        <v>Illinois</v>
      </c>
      <c r="E1556" s="26" t="str">
        <f>IFERROR(__xludf.DUMMYFUNCTION("""COMPUTED_VALUE"""),"Central")</f>
        <v>Central</v>
      </c>
      <c r="F1556" s="26">
        <f>IFERROR(__xludf.DUMMYFUNCTION("""COMPUTED_VALUE"""),12.462)</f>
        <v>12.462</v>
      </c>
      <c r="G1556" s="26">
        <f>IFERROR(__xludf.DUMMYFUNCTION("""COMPUTED_VALUE"""),3.0)</f>
        <v>3</v>
      </c>
      <c r="H1556" s="26">
        <f>IFERROR(__xludf.DUMMYFUNCTION("""COMPUTED_VALUE"""),-20.5623)</f>
        <v>-20.5623</v>
      </c>
    </row>
    <row r="1557">
      <c r="A1557" s="26" t="str">
        <f>IFERROR(__xludf.DUMMYFUNCTION("""COMPUTED_VALUE"""),"CA-2014-154627")</f>
        <v>CA-2014-154627</v>
      </c>
      <c r="B1557" s="29">
        <f>IFERROR(__xludf.DUMMYFUNCTION("""COMPUTED_VALUE"""),41941.0)</f>
        <v>41941</v>
      </c>
      <c r="C1557" s="26" t="str">
        <f>IFERROR(__xludf.DUMMYFUNCTION("""COMPUTED_VALUE"""),"Consumer")</f>
        <v>Consumer</v>
      </c>
      <c r="D1557" s="26" t="str">
        <f>IFERROR(__xludf.DUMMYFUNCTION("""COMPUTED_VALUE"""),"Illinois")</f>
        <v>Illinois</v>
      </c>
      <c r="E1557" s="26" t="str">
        <f>IFERROR(__xludf.DUMMYFUNCTION("""COMPUTED_VALUE"""),"Central")</f>
        <v>Central</v>
      </c>
      <c r="F1557" s="26">
        <f>IFERROR(__xludf.DUMMYFUNCTION("""COMPUTED_VALUE"""),2735.952)</f>
        <v>2735.952</v>
      </c>
      <c r="G1557" s="26">
        <f>IFERROR(__xludf.DUMMYFUNCTION("""COMPUTED_VALUE"""),6.0)</f>
        <v>6</v>
      </c>
      <c r="H1557" s="26">
        <f>IFERROR(__xludf.DUMMYFUNCTION("""COMPUTED_VALUE"""),341.994)</f>
        <v>341.994</v>
      </c>
    </row>
    <row r="1558">
      <c r="A1558" s="26" t="str">
        <f>IFERROR(__xludf.DUMMYFUNCTION("""COMPUTED_VALUE"""),"CA-2014-133753")</f>
        <v>CA-2014-133753</v>
      </c>
      <c r="B1558" s="27">
        <f>IFERROR(__xludf.DUMMYFUNCTION("""COMPUTED_VALUE"""),41799.0)</f>
        <v>41799</v>
      </c>
      <c r="C1558" s="26" t="str">
        <f>IFERROR(__xludf.DUMMYFUNCTION("""COMPUTED_VALUE"""),"Home Office")</f>
        <v>Home Office</v>
      </c>
      <c r="D1558" s="26" t="str">
        <f>IFERROR(__xludf.DUMMYFUNCTION("""COMPUTED_VALUE"""),"Texas")</f>
        <v>Texas</v>
      </c>
      <c r="E1558" s="26" t="str">
        <f>IFERROR(__xludf.DUMMYFUNCTION("""COMPUTED_VALUE"""),"Central")</f>
        <v>Central</v>
      </c>
      <c r="F1558" s="26">
        <f>IFERROR(__xludf.DUMMYFUNCTION("""COMPUTED_VALUE"""),7.992)</f>
        <v>7.992</v>
      </c>
      <c r="G1558" s="26">
        <f>IFERROR(__xludf.DUMMYFUNCTION("""COMPUTED_VALUE"""),1.0)</f>
        <v>1</v>
      </c>
      <c r="H1558" s="26">
        <f>IFERROR(__xludf.DUMMYFUNCTION("""COMPUTED_VALUE"""),0.5994)</f>
        <v>0.5994</v>
      </c>
    </row>
    <row r="1559">
      <c r="A1559" s="26" t="str">
        <f>IFERROR(__xludf.DUMMYFUNCTION("""COMPUTED_VALUE"""),"CA-2014-140795")</f>
        <v>CA-2014-140795</v>
      </c>
      <c r="B1559" s="27">
        <f>IFERROR(__xludf.DUMMYFUNCTION("""COMPUTED_VALUE"""),41671.0)</f>
        <v>41671</v>
      </c>
      <c r="C1559" s="26" t="str">
        <f>IFERROR(__xludf.DUMMYFUNCTION("""COMPUTED_VALUE"""),"Consumer")</f>
        <v>Consumer</v>
      </c>
      <c r="D1559" s="26" t="str">
        <f>IFERROR(__xludf.DUMMYFUNCTION("""COMPUTED_VALUE"""),"Wisconsin")</f>
        <v>Wisconsin</v>
      </c>
      <c r="E1559" s="26" t="str">
        <f>IFERROR(__xludf.DUMMYFUNCTION("""COMPUTED_VALUE"""),"Central")</f>
        <v>Central</v>
      </c>
      <c r="F1559" s="26">
        <f>IFERROR(__xludf.DUMMYFUNCTION("""COMPUTED_VALUE"""),468.9)</f>
        <v>468.9</v>
      </c>
      <c r="G1559" s="26">
        <f>IFERROR(__xludf.DUMMYFUNCTION("""COMPUTED_VALUE"""),6.0)</f>
        <v>6</v>
      </c>
      <c r="H1559" s="26">
        <f>IFERROR(__xludf.DUMMYFUNCTION("""COMPUTED_VALUE"""),206.316)</f>
        <v>206.316</v>
      </c>
    </row>
    <row r="1560">
      <c r="A1560" s="26" t="str">
        <f>IFERROR(__xludf.DUMMYFUNCTION("""COMPUTED_VALUE"""),"CA-2014-103849")</f>
        <v>CA-2014-103849</v>
      </c>
      <c r="B1560" s="27">
        <f>IFERROR(__xludf.DUMMYFUNCTION("""COMPUTED_VALUE"""),41770.0)</f>
        <v>41770</v>
      </c>
      <c r="C1560" s="26" t="str">
        <f>IFERROR(__xludf.DUMMYFUNCTION("""COMPUTED_VALUE"""),"Consumer")</f>
        <v>Consumer</v>
      </c>
      <c r="D1560" s="26" t="str">
        <f>IFERROR(__xludf.DUMMYFUNCTION("""COMPUTED_VALUE"""),"Texas")</f>
        <v>Texas</v>
      </c>
      <c r="E1560" s="26" t="str">
        <f>IFERROR(__xludf.DUMMYFUNCTION("""COMPUTED_VALUE"""),"Central")</f>
        <v>Central</v>
      </c>
      <c r="F1560" s="26">
        <f>IFERROR(__xludf.DUMMYFUNCTION("""COMPUTED_VALUE"""),58.112)</f>
        <v>58.112</v>
      </c>
      <c r="G1560" s="26">
        <f>IFERROR(__xludf.DUMMYFUNCTION("""COMPUTED_VALUE"""),2.0)</f>
        <v>2</v>
      </c>
      <c r="H1560" s="26">
        <f>IFERROR(__xludf.DUMMYFUNCTION("""COMPUTED_VALUE"""),7.264)</f>
        <v>7.264</v>
      </c>
    </row>
    <row r="1561">
      <c r="A1561" s="26" t="str">
        <f>IFERROR(__xludf.DUMMYFUNCTION("""COMPUTED_VALUE"""),"CA-2014-135405")</f>
        <v>CA-2014-135405</v>
      </c>
      <c r="B1561" s="27">
        <f>IFERROR(__xludf.DUMMYFUNCTION("""COMPUTED_VALUE"""),41648.0)</f>
        <v>41648</v>
      </c>
      <c r="C1561" s="26" t="str">
        <f>IFERROR(__xludf.DUMMYFUNCTION("""COMPUTED_VALUE"""),"Consumer")</f>
        <v>Consumer</v>
      </c>
      <c r="D1561" s="26" t="str">
        <f>IFERROR(__xludf.DUMMYFUNCTION("""COMPUTED_VALUE"""),"Texas")</f>
        <v>Texas</v>
      </c>
      <c r="E1561" s="26" t="str">
        <f>IFERROR(__xludf.DUMMYFUNCTION("""COMPUTED_VALUE"""),"Central")</f>
        <v>Central</v>
      </c>
      <c r="F1561" s="26">
        <f>IFERROR(__xludf.DUMMYFUNCTION("""COMPUTED_VALUE"""),9.344)</f>
        <v>9.344</v>
      </c>
      <c r="G1561" s="26">
        <f>IFERROR(__xludf.DUMMYFUNCTION("""COMPUTED_VALUE"""),2.0)</f>
        <v>2</v>
      </c>
      <c r="H1561" s="26">
        <f>IFERROR(__xludf.DUMMYFUNCTION("""COMPUTED_VALUE"""),1.168)</f>
        <v>1.168</v>
      </c>
    </row>
    <row r="1562">
      <c r="A1562" s="26" t="str">
        <f>IFERROR(__xludf.DUMMYFUNCTION("""COMPUTED_VALUE"""),"US-2014-111171")</f>
        <v>US-2014-111171</v>
      </c>
      <c r="B1562" s="29">
        <f>IFERROR(__xludf.DUMMYFUNCTION("""COMPUTED_VALUE"""),41999.0)</f>
        <v>41999</v>
      </c>
      <c r="C1562" s="26" t="str">
        <f>IFERROR(__xludf.DUMMYFUNCTION("""COMPUTED_VALUE"""),"Consumer")</f>
        <v>Consumer</v>
      </c>
      <c r="D1562" s="26" t="str">
        <f>IFERROR(__xludf.DUMMYFUNCTION("""COMPUTED_VALUE"""),"Illinois")</f>
        <v>Illinois</v>
      </c>
      <c r="E1562" s="26" t="str">
        <f>IFERROR(__xludf.DUMMYFUNCTION("""COMPUTED_VALUE"""),"Central")</f>
        <v>Central</v>
      </c>
      <c r="F1562" s="26">
        <f>IFERROR(__xludf.DUMMYFUNCTION("""COMPUTED_VALUE"""),8.69)</f>
        <v>8.69</v>
      </c>
      <c r="G1562" s="26">
        <f>IFERROR(__xludf.DUMMYFUNCTION("""COMPUTED_VALUE"""),5.0)</f>
        <v>5</v>
      </c>
      <c r="H1562" s="26">
        <f>IFERROR(__xludf.DUMMYFUNCTION("""COMPUTED_VALUE"""),-14.773)</f>
        <v>-14.773</v>
      </c>
    </row>
    <row r="1563">
      <c r="A1563" s="26" t="str">
        <f>IFERROR(__xludf.DUMMYFUNCTION("""COMPUTED_VALUE"""),"CA-2014-112326")</f>
        <v>CA-2014-112326</v>
      </c>
      <c r="B1563" s="27">
        <f>IFERROR(__xludf.DUMMYFUNCTION("""COMPUTED_VALUE"""),41643.0)</f>
        <v>41643</v>
      </c>
      <c r="C1563" s="26" t="str">
        <f>IFERROR(__xludf.DUMMYFUNCTION("""COMPUTED_VALUE"""),"Home Office")</f>
        <v>Home Office</v>
      </c>
      <c r="D1563" s="26" t="str">
        <f>IFERROR(__xludf.DUMMYFUNCTION("""COMPUTED_VALUE"""),"Illinois")</f>
        <v>Illinois</v>
      </c>
      <c r="E1563" s="26" t="str">
        <f>IFERROR(__xludf.DUMMYFUNCTION("""COMPUTED_VALUE"""),"Central")</f>
        <v>Central</v>
      </c>
      <c r="F1563" s="26">
        <f>IFERROR(__xludf.DUMMYFUNCTION("""COMPUTED_VALUE"""),11.784)</f>
        <v>11.784</v>
      </c>
      <c r="G1563" s="26">
        <f>IFERROR(__xludf.DUMMYFUNCTION("""COMPUTED_VALUE"""),3.0)</f>
        <v>3</v>
      </c>
      <c r="H1563" s="26">
        <f>IFERROR(__xludf.DUMMYFUNCTION("""COMPUTED_VALUE"""),4.2717)</f>
        <v>4.2717</v>
      </c>
    </row>
    <row r="1564">
      <c r="A1564" s="26" t="str">
        <f>IFERROR(__xludf.DUMMYFUNCTION("""COMPUTED_VALUE"""),"CA-2014-106803")</f>
        <v>CA-2014-106803</v>
      </c>
      <c r="B1564" s="29">
        <f>IFERROR(__xludf.DUMMYFUNCTION("""COMPUTED_VALUE"""),42002.0)</f>
        <v>42002</v>
      </c>
      <c r="C1564" s="26" t="str">
        <f>IFERROR(__xludf.DUMMYFUNCTION("""COMPUTED_VALUE"""),"Consumer")</f>
        <v>Consumer</v>
      </c>
      <c r="D1564" s="26" t="str">
        <f>IFERROR(__xludf.DUMMYFUNCTION("""COMPUTED_VALUE"""),"Minnesota")</f>
        <v>Minnesota</v>
      </c>
      <c r="E1564" s="26" t="str">
        <f>IFERROR(__xludf.DUMMYFUNCTION("""COMPUTED_VALUE"""),"Central")</f>
        <v>Central</v>
      </c>
      <c r="F1564" s="26">
        <f>IFERROR(__xludf.DUMMYFUNCTION("""COMPUTED_VALUE"""),24.56)</f>
        <v>24.56</v>
      </c>
      <c r="G1564" s="26">
        <f>IFERROR(__xludf.DUMMYFUNCTION("""COMPUTED_VALUE"""),2.0)</f>
        <v>2</v>
      </c>
      <c r="H1564" s="26">
        <f>IFERROR(__xludf.DUMMYFUNCTION("""COMPUTED_VALUE"""),6.8768)</f>
        <v>6.8768</v>
      </c>
    </row>
    <row r="1565">
      <c r="A1565" s="26" t="str">
        <f>IFERROR(__xludf.DUMMYFUNCTION("""COMPUTED_VALUE"""),"US-2014-115987")</f>
        <v>US-2014-115987</v>
      </c>
      <c r="B1565" s="27">
        <f>IFERROR(__xludf.DUMMYFUNCTION("""COMPUTED_VALUE"""),41890.0)</f>
        <v>41890</v>
      </c>
      <c r="C1565" s="26" t="str">
        <f>IFERROR(__xludf.DUMMYFUNCTION("""COMPUTED_VALUE"""),"Consumer")</f>
        <v>Consumer</v>
      </c>
      <c r="D1565" s="26" t="str">
        <f>IFERROR(__xludf.DUMMYFUNCTION("""COMPUTED_VALUE"""),"Texas")</f>
        <v>Texas</v>
      </c>
      <c r="E1565" s="26" t="str">
        <f>IFERROR(__xludf.DUMMYFUNCTION("""COMPUTED_VALUE"""),"Central")</f>
        <v>Central</v>
      </c>
      <c r="F1565" s="26">
        <f>IFERROR(__xludf.DUMMYFUNCTION("""COMPUTED_VALUE"""),51.184)</f>
        <v>51.184</v>
      </c>
      <c r="G1565" s="26">
        <f>IFERROR(__xludf.DUMMYFUNCTION("""COMPUTED_VALUE"""),4.0)</f>
        <v>4</v>
      </c>
      <c r="H1565" s="26">
        <f>IFERROR(__xludf.DUMMYFUNCTION("""COMPUTED_VALUE"""),-79.3352)</f>
        <v>-79.3352</v>
      </c>
    </row>
    <row r="1566">
      <c r="A1566" s="26" t="str">
        <f>IFERROR(__xludf.DUMMYFUNCTION("""COMPUTED_VALUE"""),"CA-2014-144407")</f>
        <v>CA-2014-144407</v>
      </c>
      <c r="B1566" s="27">
        <f>IFERROR(__xludf.DUMMYFUNCTION("""COMPUTED_VALUE"""),41891.0)</f>
        <v>41891</v>
      </c>
      <c r="C1566" s="26" t="str">
        <f>IFERROR(__xludf.DUMMYFUNCTION("""COMPUTED_VALUE"""),"Consumer")</f>
        <v>Consumer</v>
      </c>
      <c r="D1566" s="26" t="str">
        <f>IFERROR(__xludf.DUMMYFUNCTION("""COMPUTED_VALUE"""),"Michigan")</f>
        <v>Michigan</v>
      </c>
      <c r="E1566" s="26" t="str">
        <f>IFERROR(__xludf.DUMMYFUNCTION("""COMPUTED_VALUE"""),"Central")</f>
        <v>Central</v>
      </c>
      <c r="F1566" s="26">
        <f>IFERROR(__xludf.DUMMYFUNCTION("""COMPUTED_VALUE"""),103.6)</f>
        <v>103.6</v>
      </c>
      <c r="G1566" s="26">
        <f>IFERROR(__xludf.DUMMYFUNCTION("""COMPUTED_VALUE"""),7.0)</f>
        <v>7</v>
      </c>
      <c r="H1566" s="26">
        <f>IFERROR(__xludf.DUMMYFUNCTION("""COMPUTED_VALUE"""),51.8)</f>
        <v>51.8</v>
      </c>
    </row>
    <row r="1567">
      <c r="A1567" s="26" t="str">
        <f>IFERROR(__xludf.DUMMYFUNCTION("""COMPUTED_VALUE"""),"US-2014-141215")</f>
        <v>US-2014-141215</v>
      </c>
      <c r="B1567" s="27">
        <f>IFERROR(__xludf.DUMMYFUNCTION("""COMPUTED_VALUE"""),41805.0)</f>
        <v>41805</v>
      </c>
      <c r="C1567" s="26" t="str">
        <f>IFERROR(__xludf.DUMMYFUNCTION("""COMPUTED_VALUE"""),"Corporate")</f>
        <v>Corporate</v>
      </c>
      <c r="D1567" s="26" t="str">
        <f>IFERROR(__xludf.DUMMYFUNCTION("""COMPUTED_VALUE"""),"Texas")</f>
        <v>Texas</v>
      </c>
      <c r="E1567" s="26" t="str">
        <f>IFERROR(__xludf.DUMMYFUNCTION("""COMPUTED_VALUE"""),"Central")</f>
        <v>Central</v>
      </c>
      <c r="F1567" s="26">
        <f>IFERROR(__xludf.DUMMYFUNCTION("""COMPUTED_VALUE"""),99.918)</f>
        <v>99.918</v>
      </c>
      <c r="G1567" s="26">
        <f>IFERROR(__xludf.DUMMYFUNCTION("""COMPUTED_VALUE"""),2.0)</f>
        <v>2</v>
      </c>
      <c r="H1567" s="26">
        <f>IFERROR(__xludf.DUMMYFUNCTION("""COMPUTED_VALUE"""),-18.5562)</f>
        <v>-18.5562</v>
      </c>
    </row>
    <row r="1568">
      <c r="A1568" s="26" t="str">
        <f>IFERROR(__xludf.DUMMYFUNCTION("""COMPUTED_VALUE"""),"CA-2014-117709")</f>
        <v>CA-2014-117709</v>
      </c>
      <c r="B1568" s="27">
        <f>IFERROR(__xludf.DUMMYFUNCTION("""COMPUTED_VALUE"""),41763.0)</f>
        <v>41763</v>
      </c>
      <c r="C1568" s="26" t="str">
        <f>IFERROR(__xludf.DUMMYFUNCTION("""COMPUTED_VALUE"""),"Consumer")</f>
        <v>Consumer</v>
      </c>
      <c r="D1568" s="26" t="str">
        <f>IFERROR(__xludf.DUMMYFUNCTION("""COMPUTED_VALUE"""),"Michigan")</f>
        <v>Michigan</v>
      </c>
      <c r="E1568" s="26" t="str">
        <f>IFERROR(__xludf.DUMMYFUNCTION("""COMPUTED_VALUE"""),"Central")</f>
        <v>Central</v>
      </c>
      <c r="F1568" s="26">
        <f>IFERROR(__xludf.DUMMYFUNCTION("""COMPUTED_VALUE"""),46.8)</f>
        <v>46.8</v>
      </c>
      <c r="G1568" s="26">
        <f>IFERROR(__xludf.DUMMYFUNCTION("""COMPUTED_VALUE"""),4.0)</f>
        <v>4</v>
      </c>
      <c r="H1568" s="26">
        <f>IFERROR(__xludf.DUMMYFUNCTION("""COMPUTED_VALUE"""),21.06)</f>
        <v>21.06</v>
      </c>
    </row>
    <row r="1569">
      <c r="A1569" s="26" t="str">
        <f>IFERROR(__xludf.DUMMYFUNCTION("""COMPUTED_VALUE"""),"US-2014-100279")</f>
        <v>US-2014-100279</v>
      </c>
      <c r="B1569" s="27">
        <f>IFERROR(__xludf.DUMMYFUNCTION("""COMPUTED_VALUE"""),41708.0)</f>
        <v>41708</v>
      </c>
      <c r="C1569" s="26" t="str">
        <f>IFERROR(__xludf.DUMMYFUNCTION("""COMPUTED_VALUE"""),"Consumer")</f>
        <v>Consumer</v>
      </c>
      <c r="D1569" s="26" t="str">
        <f>IFERROR(__xludf.DUMMYFUNCTION("""COMPUTED_VALUE"""),"Michigan")</f>
        <v>Michigan</v>
      </c>
      <c r="E1569" s="26" t="str">
        <f>IFERROR(__xludf.DUMMYFUNCTION("""COMPUTED_VALUE"""),"Central")</f>
        <v>Central</v>
      </c>
      <c r="F1569" s="26">
        <f>IFERROR(__xludf.DUMMYFUNCTION("""COMPUTED_VALUE"""),22.38)</f>
        <v>22.38</v>
      </c>
      <c r="G1569" s="26">
        <f>IFERROR(__xludf.DUMMYFUNCTION("""COMPUTED_VALUE"""),2.0)</f>
        <v>2</v>
      </c>
      <c r="H1569" s="26">
        <f>IFERROR(__xludf.DUMMYFUNCTION("""COMPUTED_VALUE"""),10.7424)</f>
        <v>10.7424</v>
      </c>
    </row>
    <row r="1570">
      <c r="A1570" s="26" t="str">
        <f>IFERROR(__xludf.DUMMYFUNCTION("""COMPUTED_VALUE"""),"US-2014-117058")</f>
        <v>US-2014-117058</v>
      </c>
      <c r="B1570" s="27">
        <f>IFERROR(__xludf.DUMMYFUNCTION("""COMPUTED_VALUE"""),41786.0)</f>
        <v>41786</v>
      </c>
      <c r="C1570" s="26" t="str">
        <f>IFERROR(__xludf.DUMMYFUNCTION("""COMPUTED_VALUE"""),"Consumer")</f>
        <v>Consumer</v>
      </c>
      <c r="D1570" s="26" t="str">
        <f>IFERROR(__xludf.DUMMYFUNCTION("""COMPUTED_VALUE"""),"Illinois")</f>
        <v>Illinois</v>
      </c>
      <c r="E1570" s="26" t="str">
        <f>IFERROR(__xludf.DUMMYFUNCTION("""COMPUTED_VALUE"""),"Central")</f>
        <v>Central</v>
      </c>
      <c r="F1570" s="26">
        <f>IFERROR(__xludf.DUMMYFUNCTION("""COMPUTED_VALUE"""),17.46)</f>
        <v>17.46</v>
      </c>
      <c r="G1570" s="26">
        <f>IFERROR(__xludf.DUMMYFUNCTION("""COMPUTED_VALUE"""),6.0)</f>
        <v>6</v>
      </c>
      <c r="H1570" s="26">
        <f>IFERROR(__xludf.DUMMYFUNCTION("""COMPUTED_VALUE"""),-30.555)</f>
        <v>-30.555</v>
      </c>
    </row>
    <row r="1571">
      <c r="A1571" s="26" t="str">
        <f>IFERROR(__xludf.DUMMYFUNCTION("""COMPUTED_VALUE"""),"CA-2014-122567")</f>
        <v>CA-2014-122567</v>
      </c>
      <c r="B1571" s="27">
        <f>IFERROR(__xludf.DUMMYFUNCTION("""COMPUTED_VALUE"""),41686.0)</f>
        <v>41686</v>
      </c>
      <c r="C1571" s="26" t="str">
        <f>IFERROR(__xludf.DUMMYFUNCTION("""COMPUTED_VALUE"""),"Consumer")</f>
        <v>Consumer</v>
      </c>
      <c r="D1571" s="26" t="str">
        <f>IFERROR(__xludf.DUMMYFUNCTION("""COMPUTED_VALUE"""),"Texas")</f>
        <v>Texas</v>
      </c>
      <c r="E1571" s="26" t="str">
        <f>IFERROR(__xludf.DUMMYFUNCTION("""COMPUTED_VALUE"""),"Central")</f>
        <v>Central</v>
      </c>
      <c r="F1571" s="26">
        <f>IFERROR(__xludf.DUMMYFUNCTION("""COMPUTED_VALUE"""),1.08)</f>
        <v>1.08</v>
      </c>
      <c r="G1571" s="26">
        <f>IFERROR(__xludf.DUMMYFUNCTION("""COMPUTED_VALUE"""),3.0)</f>
        <v>3</v>
      </c>
      <c r="H1571" s="26">
        <f>IFERROR(__xludf.DUMMYFUNCTION("""COMPUTED_VALUE"""),-1.728)</f>
        <v>-1.728</v>
      </c>
    </row>
    <row r="1572">
      <c r="A1572" s="26" t="str">
        <f>IFERROR(__xludf.DUMMYFUNCTION("""COMPUTED_VALUE"""),"CA-2014-118339")</f>
        <v>CA-2014-118339</v>
      </c>
      <c r="B1572" s="27">
        <f>IFERROR(__xludf.DUMMYFUNCTION("""COMPUTED_VALUE"""),41715.0)</f>
        <v>41715</v>
      </c>
      <c r="C1572" s="26" t="str">
        <f>IFERROR(__xludf.DUMMYFUNCTION("""COMPUTED_VALUE"""),"Consumer")</f>
        <v>Consumer</v>
      </c>
      <c r="D1572" s="26" t="str">
        <f>IFERROR(__xludf.DUMMYFUNCTION("""COMPUTED_VALUE"""),"Minnesota")</f>
        <v>Minnesota</v>
      </c>
      <c r="E1572" s="26" t="str">
        <f>IFERROR(__xludf.DUMMYFUNCTION("""COMPUTED_VALUE"""),"Central")</f>
        <v>Central</v>
      </c>
      <c r="F1572" s="26">
        <f>IFERROR(__xludf.DUMMYFUNCTION("""COMPUTED_VALUE"""),93.78)</f>
        <v>93.78</v>
      </c>
      <c r="G1572" s="26">
        <f>IFERROR(__xludf.DUMMYFUNCTION("""COMPUTED_VALUE"""),2.0)</f>
        <v>2</v>
      </c>
      <c r="H1572" s="26">
        <f>IFERROR(__xludf.DUMMYFUNCTION("""COMPUTED_VALUE"""),36.5742)</f>
        <v>36.5742</v>
      </c>
    </row>
    <row r="1573">
      <c r="A1573" s="26" t="str">
        <f>IFERROR(__xludf.DUMMYFUNCTION("""COMPUTED_VALUE"""),"CA-2014-153976")</f>
        <v>CA-2014-153976</v>
      </c>
      <c r="B1573" s="27">
        <f>IFERROR(__xludf.DUMMYFUNCTION("""COMPUTED_VALUE"""),41915.0)</f>
        <v>41915</v>
      </c>
      <c r="C1573" s="26" t="str">
        <f>IFERROR(__xludf.DUMMYFUNCTION("""COMPUTED_VALUE"""),"Consumer")</f>
        <v>Consumer</v>
      </c>
      <c r="D1573" s="26" t="str">
        <f>IFERROR(__xludf.DUMMYFUNCTION("""COMPUTED_VALUE"""),"Illinois")</f>
        <v>Illinois</v>
      </c>
      <c r="E1573" s="26" t="str">
        <f>IFERROR(__xludf.DUMMYFUNCTION("""COMPUTED_VALUE"""),"Central")</f>
        <v>Central</v>
      </c>
      <c r="F1573" s="26">
        <f>IFERROR(__xludf.DUMMYFUNCTION("""COMPUTED_VALUE"""),258.279)</f>
        <v>258.279</v>
      </c>
      <c r="G1573" s="26">
        <f>IFERROR(__xludf.DUMMYFUNCTION("""COMPUTED_VALUE"""),3.0)</f>
        <v>3</v>
      </c>
      <c r="H1573" s="26">
        <f>IFERROR(__xludf.DUMMYFUNCTION("""COMPUTED_VALUE"""),-70.1043)</f>
        <v>-70.1043</v>
      </c>
    </row>
    <row r="1574">
      <c r="A1574" s="26" t="str">
        <f>IFERROR(__xludf.DUMMYFUNCTION("""COMPUTED_VALUE"""),"US-2014-160444")</f>
        <v>US-2014-160444</v>
      </c>
      <c r="B1574" s="27">
        <f>IFERROR(__xludf.DUMMYFUNCTION("""COMPUTED_VALUE"""),41825.0)</f>
        <v>41825</v>
      </c>
      <c r="C1574" s="26" t="str">
        <f>IFERROR(__xludf.DUMMYFUNCTION("""COMPUTED_VALUE"""),"Consumer")</f>
        <v>Consumer</v>
      </c>
      <c r="D1574" s="26" t="str">
        <f>IFERROR(__xludf.DUMMYFUNCTION("""COMPUTED_VALUE"""),"Texas")</f>
        <v>Texas</v>
      </c>
      <c r="E1574" s="26" t="str">
        <f>IFERROR(__xludf.DUMMYFUNCTION("""COMPUTED_VALUE"""),"Central")</f>
        <v>Central</v>
      </c>
      <c r="F1574" s="26">
        <f>IFERROR(__xludf.DUMMYFUNCTION("""COMPUTED_VALUE"""),220.776)</f>
        <v>220.776</v>
      </c>
      <c r="G1574" s="26">
        <f>IFERROR(__xludf.DUMMYFUNCTION("""COMPUTED_VALUE"""),3.0)</f>
        <v>3</v>
      </c>
      <c r="H1574" s="26">
        <f>IFERROR(__xludf.DUMMYFUNCTION("""COMPUTED_VALUE"""),-44.1552)</f>
        <v>-44.1552</v>
      </c>
    </row>
    <row r="1575">
      <c r="A1575" s="26" t="str">
        <f>IFERROR(__xludf.DUMMYFUNCTION("""COMPUTED_VALUE"""),"CA-2014-130274")</f>
        <v>CA-2014-130274</v>
      </c>
      <c r="B1575" s="27">
        <f>IFERROR(__xludf.DUMMYFUNCTION("""COMPUTED_VALUE"""),41762.0)</f>
        <v>41762</v>
      </c>
      <c r="C1575" s="26" t="str">
        <f>IFERROR(__xludf.DUMMYFUNCTION("""COMPUTED_VALUE"""),"Home Office")</f>
        <v>Home Office</v>
      </c>
      <c r="D1575" s="26" t="str">
        <f>IFERROR(__xludf.DUMMYFUNCTION("""COMPUTED_VALUE"""),"Wisconsin")</f>
        <v>Wisconsin</v>
      </c>
      <c r="E1575" s="26" t="str">
        <f>IFERROR(__xludf.DUMMYFUNCTION("""COMPUTED_VALUE"""),"Central")</f>
        <v>Central</v>
      </c>
      <c r="F1575" s="26">
        <f>IFERROR(__xludf.DUMMYFUNCTION("""COMPUTED_VALUE"""),21.56)</f>
        <v>21.56</v>
      </c>
      <c r="G1575" s="26">
        <f>IFERROR(__xludf.DUMMYFUNCTION("""COMPUTED_VALUE"""),7.0)</f>
        <v>7</v>
      </c>
      <c r="H1575" s="26">
        <f>IFERROR(__xludf.DUMMYFUNCTION("""COMPUTED_VALUE"""),10.3488)</f>
        <v>10.3488</v>
      </c>
    </row>
    <row r="1576">
      <c r="A1576" s="26" t="str">
        <f>IFERROR(__xludf.DUMMYFUNCTION("""COMPUTED_VALUE"""),"CA-2014-101602")</f>
        <v>CA-2014-101602</v>
      </c>
      <c r="B1576" s="29">
        <f>IFERROR(__xludf.DUMMYFUNCTION("""COMPUTED_VALUE"""),41988.0)</f>
        <v>41988</v>
      </c>
      <c r="C1576" s="26" t="str">
        <f>IFERROR(__xludf.DUMMYFUNCTION("""COMPUTED_VALUE"""),"Consumer")</f>
        <v>Consumer</v>
      </c>
      <c r="D1576" s="26" t="str">
        <f>IFERROR(__xludf.DUMMYFUNCTION("""COMPUTED_VALUE"""),"Texas")</f>
        <v>Texas</v>
      </c>
      <c r="E1576" s="26" t="str">
        <f>IFERROR(__xludf.DUMMYFUNCTION("""COMPUTED_VALUE"""),"Central")</f>
        <v>Central</v>
      </c>
      <c r="F1576" s="26">
        <f>IFERROR(__xludf.DUMMYFUNCTION("""COMPUTED_VALUE"""),40.68)</f>
        <v>40.68</v>
      </c>
      <c r="G1576" s="26">
        <f>IFERROR(__xludf.DUMMYFUNCTION("""COMPUTED_VALUE"""),3.0)</f>
        <v>3</v>
      </c>
      <c r="H1576" s="26">
        <f>IFERROR(__xludf.DUMMYFUNCTION("""COMPUTED_VALUE"""),-9.153)</f>
        <v>-9.153</v>
      </c>
    </row>
    <row r="1577">
      <c r="A1577" s="26" t="str">
        <f>IFERROR(__xludf.DUMMYFUNCTION("""COMPUTED_VALUE"""),"US-2014-134712")</f>
        <v>US-2014-134712</v>
      </c>
      <c r="B1577" s="29">
        <f>IFERROR(__xludf.DUMMYFUNCTION("""COMPUTED_VALUE"""),41972.0)</f>
        <v>41972</v>
      </c>
      <c r="C1577" s="26" t="str">
        <f>IFERROR(__xludf.DUMMYFUNCTION("""COMPUTED_VALUE"""),"Corporate")</f>
        <v>Corporate</v>
      </c>
      <c r="D1577" s="26" t="str">
        <f>IFERROR(__xludf.DUMMYFUNCTION("""COMPUTED_VALUE"""),"Illinois")</f>
        <v>Illinois</v>
      </c>
      <c r="E1577" s="26" t="str">
        <f>IFERROR(__xludf.DUMMYFUNCTION("""COMPUTED_VALUE"""),"Central")</f>
        <v>Central</v>
      </c>
      <c r="F1577" s="26">
        <f>IFERROR(__xludf.DUMMYFUNCTION("""COMPUTED_VALUE"""),12.624)</f>
        <v>12.624</v>
      </c>
      <c r="G1577" s="26">
        <f>IFERROR(__xludf.DUMMYFUNCTION("""COMPUTED_VALUE"""),2.0)</f>
        <v>2</v>
      </c>
      <c r="H1577" s="26">
        <f>IFERROR(__xludf.DUMMYFUNCTION("""COMPUTED_VALUE"""),3.945)</f>
        <v>3.945</v>
      </c>
    </row>
    <row r="1578">
      <c r="A1578" s="26" t="str">
        <f>IFERROR(__xludf.DUMMYFUNCTION("""COMPUTED_VALUE"""),"CA-2014-127159")</f>
        <v>CA-2014-127159</v>
      </c>
      <c r="B1578" s="27">
        <f>IFERROR(__xludf.DUMMYFUNCTION("""COMPUTED_VALUE"""),41771.0)</f>
        <v>41771</v>
      </c>
      <c r="C1578" s="26" t="str">
        <f>IFERROR(__xludf.DUMMYFUNCTION("""COMPUTED_VALUE"""),"Consumer")</f>
        <v>Consumer</v>
      </c>
      <c r="D1578" s="26" t="str">
        <f>IFERROR(__xludf.DUMMYFUNCTION("""COMPUTED_VALUE"""),"Wisconsin")</f>
        <v>Wisconsin</v>
      </c>
      <c r="E1578" s="26" t="str">
        <f>IFERROR(__xludf.DUMMYFUNCTION("""COMPUTED_VALUE"""),"Central")</f>
        <v>Central</v>
      </c>
      <c r="F1578" s="26">
        <f>IFERROR(__xludf.DUMMYFUNCTION("""COMPUTED_VALUE"""),34.79)</f>
        <v>34.79</v>
      </c>
      <c r="G1578" s="26">
        <f>IFERROR(__xludf.DUMMYFUNCTION("""COMPUTED_VALUE"""),7.0)</f>
        <v>7</v>
      </c>
      <c r="H1578" s="26">
        <f>IFERROR(__xludf.DUMMYFUNCTION("""COMPUTED_VALUE"""),10.7849)</f>
        <v>10.7849</v>
      </c>
    </row>
    <row r="1579">
      <c r="A1579" s="26" t="str">
        <f>IFERROR(__xludf.DUMMYFUNCTION("""COMPUTED_VALUE"""),"US-2014-157406")</f>
        <v>US-2014-157406</v>
      </c>
      <c r="B1579" s="27">
        <f>IFERROR(__xludf.DUMMYFUNCTION("""COMPUTED_VALUE"""),41754.0)</f>
        <v>41754</v>
      </c>
      <c r="C1579" s="26" t="str">
        <f>IFERROR(__xludf.DUMMYFUNCTION("""COMPUTED_VALUE"""),"Home Office")</f>
        <v>Home Office</v>
      </c>
      <c r="D1579" s="26" t="str">
        <f>IFERROR(__xludf.DUMMYFUNCTION("""COMPUTED_VALUE"""),"Texas")</f>
        <v>Texas</v>
      </c>
      <c r="E1579" s="26" t="str">
        <f>IFERROR(__xludf.DUMMYFUNCTION("""COMPUTED_VALUE"""),"Central")</f>
        <v>Central</v>
      </c>
      <c r="F1579" s="26">
        <f>IFERROR(__xludf.DUMMYFUNCTION("""COMPUTED_VALUE"""),10.368)</f>
        <v>10.368</v>
      </c>
      <c r="G1579" s="26">
        <f>IFERROR(__xludf.DUMMYFUNCTION("""COMPUTED_VALUE"""),2.0)</f>
        <v>2</v>
      </c>
      <c r="H1579" s="26">
        <f>IFERROR(__xludf.DUMMYFUNCTION("""COMPUTED_VALUE"""),3.6288)</f>
        <v>3.6288</v>
      </c>
    </row>
    <row r="1580">
      <c r="A1580" s="26" t="str">
        <f>IFERROR(__xludf.DUMMYFUNCTION("""COMPUTED_VALUE"""),"CA-2014-139017")</f>
        <v>CA-2014-139017</v>
      </c>
      <c r="B1580" s="27">
        <f>IFERROR(__xludf.DUMMYFUNCTION("""COMPUTED_VALUE"""),41770.0)</f>
        <v>41770</v>
      </c>
      <c r="C1580" s="26" t="str">
        <f>IFERROR(__xludf.DUMMYFUNCTION("""COMPUTED_VALUE"""),"Consumer")</f>
        <v>Consumer</v>
      </c>
      <c r="D1580" s="26" t="str">
        <f>IFERROR(__xludf.DUMMYFUNCTION("""COMPUTED_VALUE"""),"Texas")</f>
        <v>Texas</v>
      </c>
      <c r="E1580" s="26" t="str">
        <f>IFERROR(__xludf.DUMMYFUNCTION("""COMPUTED_VALUE"""),"Central")</f>
        <v>Central</v>
      </c>
      <c r="F1580" s="26">
        <f>IFERROR(__xludf.DUMMYFUNCTION("""COMPUTED_VALUE"""),46.864)</f>
        <v>46.864</v>
      </c>
      <c r="G1580" s="26">
        <f>IFERROR(__xludf.DUMMYFUNCTION("""COMPUTED_VALUE"""),2.0)</f>
        <v>2</v>
      </c>
      <c r="H1580" s="26">
        <f>IFERROR(__xludf.DUMMYFUNCTION("""COMPUTED_VALUE"""),7.6154)</f>
        <v>7.6154</v>
      </c>
    </row>
    <row r="1581">
      <c r="A1581" s="26" t="str">
        <f>IFERROR(__xludf.DUMMYFUNCTION("""COMPUTED_VALUE"""),"CA-2014-120474")</f>
        <v>CA-2014-120474</v>
      </c>
      <c r="B1581" s="27">
        <f>IFERROR(__xludf.DUMMYFUNCTION("""COMPUTED_VALUE"""),41974.0)</f>
        <v>41974</v>
      </c>
      <c r="C1581" s="26" t="str">
        <f>IFERROR(__xludf.DUMMYFUNCTION("""COMPUTED_VALUE"""),"Consumer")</f>
        <v>Consumer</v>
      </c>
      <c r="D1581" s="26" t="str">
        <f>IFERROR(__xludf.DUMMYFUNCTION("""COMPUTED_VALUE"""),"Wisconsin")</f>
        <v>Wisconsin</v>
      </c>
      <c r="E1581" s="26" t="str">
        <f>IFERROR(__xludf.DUMMYFUNCTION("""COMPUTED_VALUE"""),"Central")</f>
        <v>Central</v>
      </c>
      <c r="F1581" s="26">
        <f>IFERROR(__xludf.DUMMYFUNCTION("""COMPUTED_VALUE"""),2807.84)</f>
        <v>2807.84</v>
      </c>
      <c r="G1581" s="26">
        <f>IFERROR(__xludf.DUMMYFUNCTION("""COMPUTED_VALUE"""),8.0)</f>
        <v>8</v>
      </c>
      <c r="H1581" s="26">
        <f>IFERROR(__xludf.DUMMYFUNCTION("""COMPUTED_VALUE"""),673.8816)</f>
        <v>673.8816</v>
      </c>
    </row>
    <row r="1582">
      <c r="A1582" s="26" t="str">
        <f>IFERROR(__xludf.DUMMYFUNCTION("""COMPUTED_VALUE"""),"CA-2014-104773")</f>
        <v>CA-2014-104773</v>
      </c>
      <c r="B1582" s="27">
        <f>IFERROR(__xludf.DUMMYFUNCTION("""COMPUTED_VALUE"""),41981.0)</f>
        <v>41981</v>
      </c>
      <c r="C1582" s="26" t="str">
        <f>IFERROR(__xludf.DUMMYFUNCTION("""COMPUTED_VALUE"""),"Corporate")</f>
        <v>Corporate</v>
      </c>
      <c r="D1582" s="26" t="str">
        <f>IFERROR(__xludf.DUMMYFUNCTION("""COMPUTED_VALUE"""),"Texas")</f>
        <v>Texas</v>
      </c>
      <c r="E1582" s="26" t="str">
        <f>IFERROR(__xludf.DUMMYFUNCTION("""COMPUTED_VALUE"""),"Central")</f>
        <v>Central</v>
      </c>
      <c r="F1582" s="26">
        <f>IFERROR(__xludf.DUMMYFUNCTION("""COMPUTED_VALUE"""),60.416)</f>
        <v>60.416</v>
      </c>
      <c r="G1582" s="26">
        <f>IFERROR(__xludf.DUMMYFUNCTION("""COMPUTED_VALUE"""),2.0)</f>
        <v>2</v>
      </c>
      <c r="H1582" s="26">
        <f>IFERROR(__xludf.DUMMYFUNCTION("""COMPUTED_VALUE"""),6.0416)</f>
        <v>6.0416</v>
      </c>
    </row>
    <row r="1583">
      <c r="A1583" s="26" t="str">
        <f>IFERROR(__xludf.DUMMYFUNCTION("""COMPUTED_VALUE"""),"US-2014-130379")</f>
        <v>US-2014-130379</v>
      </c>
      <c r="B1583" s="27">
        <f>IFERROR(__xludf.DUMMYFUNCTION("""COMPUTED_VALUE"""),41784.0)</f>
        <v>41784</v>
      </c>
      <c r="C1583" s="26" t="str">
        <f>IFERROR(__xludf.DUMMYFUNCTION("""COMPUTED_VALUE"""),"Consumer")</f>
        <v>Consumer</v>
      </c>
      <c r="D1583" s="26" t="str">
        <f>IFERROR(__xludf.DUMMYFUNCTION("""COMPUTED_VALUE"""),"Illinois")</f>
        <v>Illinois</v>
      </c>
      <c r="E1583" s="26" t="str">
        <f>IFERROR(__xludf.DUMMYFUNCTION("""COMPUTED_VALUE"""),"Central")</f>
        <v>Central</v>
      </c>
      <c r="F1583" s="26">
        <f>IFERROR(__xludf.DUMMYFUNCTION("""COMPUTED_VALUE"""),75.6)</f>
        <v>75.6</v>
      </c>
      <c r="G1583" s="26">
        <f>IFERROR(__xludf.DUMMYFUNCTION("""COMPUTED_VALUE"""),2.0)</f>
        <v>2</v>
      </c>
      <c r="H1583" s="26">
        <f>IFERROR(__xludf.DUMMYFUNCTION("""COMPUTED_VALUE"""),-166.32)</f>
        <v>-166.32</v>
      </c>
    </row>
    <row r="1584">
      <c r="A1584" s="26" t="str">
        <f>IFERROR(__xludf.DUMMYFUNCTION("""COMPUTED_VALUE"""),"CA-2014-151078")</f>
        <v>CA-2014-151078</v>
      </c>
      <c r="B1584" s="29">
        <f>IFERROR(__xludf.DUMMYFUNCTION("""COMPUTED_VALUE"""),41955.0)</f>
        <v>41955</v>
      </c>
      <c r="C1584" s="26" t="str">
        <f>IFERROR(__xludf.DUMMYFUNCTION("""COMPUTED_VALUE"""),"Consumer")</f>
        <v>Consumer</v>
      </c>
      <c r="D1584" s="26" t="str">
        <f>IFERROR(__xludf.DUMMYFUNCTION("""COMPUTED_VALUE"""),"Texas")</f>
        <v>Texas</v>
      </c>
      <c r="E1584" s="26" t="str">
        <f>IFERROR(__xludf.DUMMYFUNCTION("""COMPUTED_VALUE"""),"Central")</f>
        <v>Central</v>
      </c>
      <c r="F1584" s="26">
        <f>IFERROR(__xludf.DUMMYFUNCTION("""COMPUTED_VALUE"""),49.632)</f>
        <v>49.632</v>
      </c>
      <c r="G1584" s="26">
        <f>IFERROR(__xludf.DUMMYFUNCTION("""COMPUTED_VALUE"""),4.0)</f>
        <v>4</v>
      </c>
      <c r="H1584" s="26">
        <f>IFERROR(__xludf.DUMMYFUNCTION("""COMPUTED_VALUE"""),4.9632)</f>
        <v>4.9632</v>
      </c>
    </row>
    <row r="1585">
      <c r="A1585" s="26" t="str">
        <f>IFERROR(__xludf.DUMMYFUNCTION("""COMPUTED_VALUE"""),"CA-2014-148950")</f>
        <v>CA-2014-148950</v>
      </c>
      <c r="B1585" s="29">
        <f>IFERROR(__xludf.DUMMYFUNCTION("""COMPUTED_VALUE"""),41987.0)</f>
        <v>41987</v>
      </c>
      <c r="C1585" s="26" t="str">
        <f>IFERROR(__xludf.DUMMYFUNCTION("""COMPUTED_VALUE"""),"Consumer")</f>
        <v>Consumer</v>
      </c>
      <c r="D1585" s="26" t="str">
        <f>IFERROR(__xludf.DUMMYFUNCTION("""COMPUTED_VALUE"""),"Illinois")</f>
        <v>Illinois</v>
      </c>
      <c r="E1585" s="26" t="str">
        <f>IFERROR(__xludf.DUMMYFUNCTION("""COMPUTED_VALUE"""),"Central")</f>
        <v>Central</v>
      </c>
      <c r="F1585" s="26">
        <f>IFERROR(__xludf.DUMMYFUNCTION("""COMPUTED_VALUE"""),5.104)</f>
        <v>5.104</v>
      </c>
      <c r="G1585" s="26">
        <f>IFERROR(__xludf.DUMMYFUNCTION("""COMPUTED_VALUE"""),4.0)</f>
        <v>4</v>
      </c>
      <c r="H1585" s="26">
        <f>IFERROR(__xludf.DUMMYFUNCTION("""COMPUTED_VALUE"""),-8.6768)</f>
        <v>-8.6768</v>
      </c>
    </row>
    <row r="1586">
      <c r="A1586" s="26" t="str">
        <f>IFERROR(__xludf.DUMMYFUNCTION("""COMPUTED_VALUE"""),"CA-2014-122749")</f>
        <v>CA-2014-122749</v>
      </c>
      <c r="B1586" s="27">
        <f>IFERROR(__xludf.DUMMYFUNCTION("""COMPUTED_VALUE"""),41976.0)</f>
        <v>41976</v>
      </c>
      <c r="C1586" s="26" t="str">
        <f>IFERROR(__xludf.DUMMYFUNCTION("""COMPUTED_VALUE"""),"Consumer")</f>
        <v>Consumer</v>
      </c>
      <c r="D1586" s="26" t="str">
        <f>IFERROR(__xludf.DUMMYFUNCTION("""COMPUTED_VALUE"""),"Oklahoma")</f>
        <v>Oklahoma</v>
      </c>
      <c r="E1586" s="26" t="str">
        <f>IFERROR(__xludf.DUMMYFUNCTION("""COMPUTED_VALUE"""),"Central")</f>
        <v>Central</v>
      </c>
      <c r="F1586" s="26">
        <f>IFERROR(__xludf.DUMMYFUNCTION("""COMPUTED_VALUE"""),479.96)</f>
        <v>479.96</v>
      </c>
      <c r="G1586" s="26">
        <f>IFERROR(__xludf.DUMMYFUNCTION("""COMPUTED_VALUE"""),4.0)</f>
        <v>4</v>
      </c>
      <c r="H1586" s="26">
        <f>IFERROR(__xludf.DUMMYFUNCTION("""COMPUTED_VALUE"""),134.3888)</f>
        <v>134.3888</v>
      </c>
    </row>
    <row r="1587">
      <c r="A1587" s="26" t="str">
        <f>IFERROR(__xludf.DUMMYFUNCTION("""COMPUTED_VALUE"""),"CA-2014-111150")</f>
        <v>CA-2014-111150</v>
      </c>
      <c r="B1587" s="29">
        <f>IFERROR(__xludf.DUMMYFUNCTION("""COMPUTED_VALUE"""),42004.0)</f>
        <v>42004</v>
      </c>
      <c r="C1587" s="26" t="str">
        <f>IFERROR(__xludf.DUMMYFUNCTION("""COMPUTED_VALUE"""),"Corporate")</f>
        <v>Corporate</v>
      </c>
      <c r="D1587" s="26" t="str">
        <f>IFERROR(__xludf.DUMMYFUNCTION("""COMPUTED_VALUE"""),"Missouri")</f>
        <v>Missouri</v>
      </c>
      <c r="E1587" s="26" t="str">
        <f>IFERROR(__xludf.DUMMYFUNCTION("""COMPUTED_VALUE"""),"Central")</f>
        <v>Central</v>
      </c>
      <c r="F1587" s="26">
        <f>IFERROR(__xludf.DUMMYFUNCTION("""COMPUTED_VALUE"""),29.68)</f>
        <v>29.68</v>
      </c>
      <c r="G1587" s="26">
        <f>IFERROR(__xludf.DUMMYFUNCTION("""COMPUTED_VALUE"""),7.0)</f>
        <v>7</v>
      </c>
      <c r="H1587" s="26">
        <f>IFERROR(__xludf.DUMMYFUNCTION("""COMPUTED_VALUE"""),11.5752)</f>
        <v>11.5752</v>
      </c>
    </row>
    <row r="1588">
      <c r="A1588" s="26" t="str">
        <f>IFERROR(__xludf.DUMMYFUNCTION("""COMPUTED_VALUE"""),"CA-2014-129168")</f>
        <v>CA-2014-129168</v>
      </c>
      <c r="B1588" s="27">
        <f>IFERROR(__xludf.DUMMYFUNCTION("""COMPUTED_VALUE"""),41868.0)</f>
        <v>41868</v>
      </c>
      <c r="C1588" s="26" t="str">
        <f>IFERROR(__xludf.DUMMYFUNCTION("""COMPUTED_VALUE"""),"Corporate")</f>
        <v>Corporate</v>
      </c>
      <c r="D1588" s="26" t="str">
        <f>IFERROR(__xludf.DUMMYFUNCTION("""COMPUTED_VALUE"""),"Texas")</f>
        <v>Texas</v>
      </c>
      <c r="E1588" s="26" t="str">
        <f>IFERROR(__xludf.DUMMYFUNCTION("""COMPUTED_VALUE"""),"Central")</f>
        <v>Central</v>
      </c>
      <c r="F1588" s="26">
        <f>IFERROR(__xludf.DUMMYFUNCTION("""COMPUTED_VALUE"""),15.552)</f>
        <v>15.552</v>
      </c>
      <c r="G1588" s="26">
        <f>IFERROR(__xludf.DUMMYFUNCTION("""COMPUTED_VALUE"""),3.0)</f>
        <v>3</v>
      </c>
      <c r="H1588" s="26">
        <f>IFERROR(__xludf.DUMMYFUNCTION("""COMPUTED_VALUE"""),5.4432)</f>
        <v>5.4432</v>
      </c>
    </row>
    <row r="1589">
      <c r="A1589" s="26" t="str">
        <f>IFERROR(__xludf.DUMMYFUNCTION("""COMPUTED_VALUE"""),"CA-2014-110352")</f>
        <v>CA-2014-110352</v>
      </c>
      <c r="B1589" s="29">
        <f>IFERROR(__xludf.DUMMYFUNCTION("""COMPUTED_VALUE"""),41966.0)</f>
        <v>41966</v>
      </c>
      <c r="C1589" s="26" t="str">
        <f>IFERROR(__xludf.DUMMYFUNCTION("""COMPUTED_VALUE"""),"Home Office")</f>
        <v>Home Office</v>
      </c>
      <c r="D1589" s="26" t="str">
        <f>IFERROR(__xludf.DUMMYFUNCTION("""COMPUTED_VALUE"""),"Texas")</f>
        <v>Texas</v>
      </c>
      <c r="E1589" s="26" t="str">
        <f>IFERROR(__xludf.DUMMYFUNCTION("""COMPUTED_VALUE"""),"Central")</f>
        <v>Central</v>
      </c>
      <c r="F1589" s="26">
        <f>IFERROR(__xludf.DUMMYFUNCTION("""COMPUTED_VALUE"""),23.68)</f>
        <v>23.68</v>
      </c>
      <c r="G1589" s="26">
        <f>IFERROR(__xludf.DUMMYFUNCTION("""COMPUTED_VALUE"""),2.0)</f>
        <v>2</v>
      </c>
      <c r="H1589" s="26">
        <f>IFERROR(__xludf.DUMMYFUNCTION("""COMPUTED_VALUE"""),8.88)</f>
        <v>8.88</v>
      </c>
    </row>
    <row r="1590">
      <c r="A1590" s="26" t="str">
        <f>IFERROR(__xludf.DUMMYFUNCTION("""COMPUTED_VALUE"""),"CA-2014-145926")</f>
        <v>CA-2014-145926</v>
      </c>
      <c r="B1590" s="29">
        <f>IFERROR(__xludf.DUMMYFUNCTION("""COMPUTED_VALUE"""),41960.0)</f>
        <v>41960</v>
      </c>
      <c r="C1590" s="26" t="str">
        <f>IFERROR(__xludf.DUMMYFUNCTION("""COMPUTED_VALUE"""),"Home Office")</f>
        <v>Home Office</v>
      </c>
      <c r="D1590" s="26" t="str">
        <f>IFERROR(__xludf.DUMMYFUNCTION("""COMPUTED_VALUE"""),"Minnesota")</f>
        <v>Minnesota</v>
      </c>
      <c r="E1590" s="26" t="str">
        <f>IFERROR(__xludf.DUMMYFUNCTION("""COMPUTED_VALUE"""),"Central")</f>
        <v>Central</v>
      </c>
      <c r="F1590" s="26">
        <f>IFERROR(__xludf.DUMMYFUNCTION("""COMPUTED_VALUE"""),479.9)</f>
        <v>479.9</v>
      </c>
      <c r="G1590" s="26">
        <f>IFERROR(__xludf.DUMMYFUNCTION("""COMPUTED_VALUE"""),5.0)</f>
        <v>5</v>
      </c>
      <c r="H1590" s="26">
        <f>IFERROR(__xludf.DUMMYFUNCTION("""COMPUTED_VALUE"""),81.583)</f>
        <v>81.583</v>
      </c>
    </row>
    <row r="1591">
      <c r="A1591" s="26" t="str">
        <f>IFERROR(__xludf.DUMMYFUNCTION("""COMPUTED_VALUE"""),"US-2014-152723")</f>
        <v>US-2014-152723</v>
      </c>
      <c r="B1591" s="27">
        <f>IFERROR(__xludf.DUMMYFUNCTION("""COMPUTED_VALUE"""),41908.0)</f>
        <v>41908</v>
      </c>
      <c r="C1591" s="26" t="str">
        <f>IFERROR(__xludf.DUMMYFUNCTION("""COMPUTED_VALUE"""),"Corporate")</f>
        <v>Corporate</v>
      </c>
      <c r="D1591" s="26" t="str">
        <f>IFERROR(__xludf.DUMMYFUNCTION("""COMPUTED_VALUE"""),"Texas")</f>
        <v>Texas</v>
      </c>
      <c r="E1591" s="26" t="str">
        <f>IFERROR(__xludf.DUMMYFUNCTION("""COMPUTED_VALUE"""),"Central")</f>
        <v>Central</v>
      </c>
      <c r="F1591" s="26">
        <f>IFERROR(__xludf.DUMMYFUNCTION("""COMPUTED_VALUE"""),0.876)</f>
        <v>0.876</v>
      </c>
      <c r="G1591" s="26">
        <f>IFERROR(__xludf.DUMMYFUNCTION("""COMPUTED_VALUE"""),1.0)</f>
        <v>1</v>
      </c>
      <c r="H1591" s="26">
        <f>IFERROR(__xludf.DUMMYFUNCTION("""COMPUTED_VALUE"""),-1.4016)</f>
        <v>-1.4016</v>
      </c>
    </row>
    <row r="1592">
      <c r="A1592" s="26" t="str">
        <f>IFERROR(__xludf.DUMMYFUNCTION("""COMPUTED_VALUE"""),"CA-2014-167360")</f>
        <v>CA-2014-167360</v>
      </c>
      <c r="B1592" s="29">
        <f>IFERROR(__xludf.DUMMYFUNCTION("""COMPUTED_VALUE"""),41967.0)</f>
        <v>41967</v>
      </c>
      <c r="C1592" s="26" t="str">
        <f>IFERROR(__xludf.DUMMYFUNCTION("""COMPUTED_VALUE"""),"Consumer")</f>
        <v>Consumer</v>
      </c>
      <c r="D1592" s="26" t="str">
        <f>IFERROR(__xludf.DUMMYFUNCTION("""COMPUTED_VALUE"""),"Missouri")</f>
        <v>Missouri</v>
      </c>
      <c r="E1592" s="26" t="str">
        <f>IFERROR(__xludf.DUMMYFUNCTION("""COMPUTED_VALUE"""),"Central")</f>
        <v>Central</v>
      </c>
      <c r="F1592" s="26">
        <f>IFERROR(__xludf.DUMMYFUNCTION("""COMPUTED_VALUE"""),111.79)</f>
        <v>111.79</v>
      </c>
      <c r="G1592" s="26">
        <f>IFERROR(__xludf.DUMMYFUNCTION("""COMPUTED_VALUE"""),7.0)</f>
        <v>7</v>
      </c>
      <c r="H1592" s="26">
        <f>IFERROR(__xludf.DUMMYFUNCTION("""COMPUTED_VALUE"""),43.5981)</f>
        <v>43.5981</v>
      </c>
    </row>
    <row r="1593">
      <c r="A1593" s="26" t="str">
        <f>IFERROR(__xludf.DUMMYFUNCTION("""COMPUTED_VALUE"""),"CA-2014-124646")</f>
        <v>CA-2014-124646</v>
      </c>
      <c r="B1593" s="27">
        <f>IFERROR(__xludf.DUMMYFUNCTION("""COMPUTED_VALUE"""),41812.0)</f>
        <v>41812</v>
      </c>
      <c r="C1593" s="26" t="str">
        <f>IFERROR(__xludf.DUMMYFUNCTION("""COMPUTED_VALUE"""),"Consumer")</f>
        <v>Consumer</v>
      </c>
      <c r="D1593" s="26" t="str">
        <f>IFERROR(__xludf.DUMMYFUNCTION("""COMPUTED_VALUE"""),"Minnesota")</f>
        <v>Minnesota</v>
      </c>
      <c r="E1593" s="26" t="str">
        <f>IFERROR(__xludf.DUMMYFUNCTION("""COMPUTED_VALUE"""),"Central")</f>
        <v>Central</v>
      </c>
      <c r="F1593" s="26">
        <f>IFERROR(__xludf.DUMMYFUNCTION("""COMPUTED_VALUE"""),501.81)</f>
        <v>501.81</v>
      </c>
      <c r="G1593" s="26">
        <f>IFERROR(__xludf.DUMMYFUNCTION("""COMPUTED_VALUE"""),3.0)</f>
        <v>3</v>
      </c>
      <c r="H1593" s="26">
        <f>IFERROR(__xludf.DUMMYFUNCTION("""COMPUTED_VALUE"""),0.0)</f>
        <v>0</v>
      </c>
    </row>
    <row r="1594">
      <c r="A1594" s="26" t="str">
        <f>IFERROR(__xludf.DUMMYFUNCTION("""COMPUTED_VALUE"""),"US-2014-103905")</f>
        <v>US-2014-103905</v>
      </c>
      <c r="B1594" s="27">
        <f>IFERROR(__xludf.DUMMYFUNCTION("""COMPUTED_VALUE"""),41834.0)</f>
        <v>41834</v>
      </c>
      <c r="C1594" s="26" t="str">
        <f>IFERROR(__xludf.DUMMYFUNCTION("""COMPUTED_VALUE"""),"Home Office")</f>
        <v>Home Office</v>
      </c>
      <c r="D1594" s="26" t="str">
        <f>IFERROR(__xludf.DUMMYFUNCTION("""COMPUTED_VALUE"""),"Illinois")</f>
        <v>Illinois</v>
      </c>
      <c r="E1594" s="26" t="str">
        <f>IFERROR(__xludf.DUMMYFUNCTION("""COMPUTED_VALUE"""),"Central")</f>
        <v>Central</v>
      </c>
      <c r="F1594" s="26">
        <f>IFERROR(__xludf.DUMMYFUNCTION("""COMPUTED_VALUE"""),29.932)</f>
        <v>29.932</v>
      </c>
      <c r="G1594" s="26">
        <f>IFERROR(__xludf.DUMMYFUNCTION("""COMPUTED_VALUE"""),7.0)</f>
        <v>7</v>
      </c>
      <c r="H1594" s="26">
        <f>IFERROR(__xludf.DUMMYFUNCTION("""COMPUTED_VALUE"""),-46.3946)</f>
        <v>-46.3946</v>
      </c>
    </row>
    <row r="1595">
      <c r="A1595" s="26" t="str">
        <f>IFERROR(__xludf.DUMMYFUNCTION("""COMPUTED_VALUE"""),"CA-2014-162362")</f>
        <v>CA-2014-162362</v>
      </c>
      <c r="B1595" s="29">
        <f>IFERROR(__xludf.DUMMYFUNCTION("""COMPUTED_VALUE"""),41957.0)</f>
        <v>41957</v>
      </c>
      <c r="C1595" s="26" t="str">
        <f>IFERROR(__xludf.DUMMYFUNCTION("""COMPUTED_VALUE"""),"Consumer")</f>
        <v>Consumer</v>
      </c>
      <c r="D1595" s="26" t="str">
        <f>IFERROR(__xludf.DUMMYFUNCTION("""COMPUTED_VALUE"""),"Michigan")</f>
        <v>Michigan</v>
      </c>
      <c r="E1595" s="26" t="str">
        <f>IFERROR(__xludf.DUMMYFUNCTION("""COMPUTED_VALUE"""),"Central")</f>
        <v>Central</v>
      </c>
      <c r="F1595" s="26">
        <f>IFERROR(__xludf.DUMMYFUNCTION("""COMPUTED_VALUE"""),12.72)</f>
        <v>12.72</v>
      </c>
      <c r="G1595" s="26">
        <f>IFERROR(__xludf.DUMMYFUNCTION("""COMPUTED_VALUE"""),3.0)</f>
        <v>3</v>
      </c>
      <c r="H1595" s="26">
        <f>IFERROR(__xludf.DUMMYFUNCTION("""COMPUTED_VALUE"""),6.36)</f>
        <v>6.36</v>
      </c>
    </row>
    <row r="1596">
      <c r="A1596" s="26" t="str">
        <f>IFERROR(__xludf.DUMMYFUNCTION("""COMPUTED_VALUE"""),"US-2014-155894")</f>
        <v>US-2014-155894</v>
      </c>
      <c r="B1596" s="27">
        <f>IFERROR(__xludf.DUMMYFUNCTION("""COMPUTED_VALUE"""),41846.0)</f>
        <v>41846</v>
      </c>
      <c r="C1596" s="26" t="str">
        <f>IFERROR(__xludf.DUMMYFUNCTION("""COMPUTED_VALUE"""),"Consumer")</f>
        <v>Consumer</v>
      </c>
      <c r="D1596" s="26" t="str">
        <f>IFERROR(__xludf.DUMMYFUNCTION("""COMPUTED_VALUE"""),"Illinois")</f>
        <v>Illinois</v>
      </c>
      <c r="E1596" s="26" t="str">
        <f>IFERROR(__xludf.DUMMYFUNCTION("""COMPUTED_VALUE"""),"Central")</f>
        <v>Central</v>
      </c>
      <c r="F1596" s="26">
        <f>IFERROR(__xludf.DUMMYFUNCTION("""COMPUTED_VALUE"""),123.552)</f>
        <v>123.552</v>
      </c>
      <c r="G1596" s="26">
        <f>IFERROR(__xludf.DUMMYFUNCTION("""COMPUTED_VALUE"""),3.0)</f>
        <v>3</v>
      </c>
      <c r="H1596" s="26">
        <f>IFERROR(__xludf.DUMMYFUNCTION("""COMPUTED_VALUE"""),-29.3436)</f>
        <v>-29.3436</v>
      </c>
    </row>
    <row r="1597">
      <c r="A1597" s="26" t="str">
        <f>IFERROR(__xludf.DUMMYFUNCTION("""COMPUTED_VALUE"""),"CA-2014-136644")</f>
        <v>CA-2014-136644</v>
      </c>
      <c r="B1597" s="27">
        <f>IFERROR(__xludf.DUMMYFUNCTION("""COMPUTED_VALUE"""),41806.0)</f>
        <v>41806</v>
      </c>
      <c r="C1597" s="26" t="str">
        <f>IFERROR(__xludf.DUMMYFUNCTION("""COMPUTED_VALUE"""),"Consumer")</f>
        <v>Consumer</v>
      </c>
      <c r="D1597" s="26" t="str">
        <f>IFERROR(__xludf.DUMMYFUNCTION("""COMPUTED_VALUE"""),"Indiana")</f>
        <v>Indiana</v>
      </c>
      <c r="E1597" s="26" t="str">
        <f>IFERROR(__xludf.DUMMYFUNCTION("""COMPUTED_VALUE"""),"Central")</f>
        <v>Central</v>
      </c>
      <c r="F1597" s="26">
        <f>IFERROR(__xludf.DUMMYFUNCTION("""COMPUTED_VALUE"""),647.84)</f>
        <v>647.84</v>
      </c>
      <c r="G1597" s="26">
        <f>IFERROR(__xludf.DUMMYFUNCTION("""COMPUTED_VALUE"""),8.0)</f>
        <v>8</v>
      </c>
      <c r="H1597" s="26">
        <f>IFERROR(__xludf.DUMMYFUNCTION("""COMPUTED_VALUE"""),32.392)</f>
        <v>32.392</v>
      </c>
    </row>
    <row r="1598">
      <c r="A1598" s="26" t="str">
        <f>IFERROR(__xludf.DUMMYFUNCTION("""COMPUTED_VALUE"""),"CA-2014-128888")</f>
        <v>CA-2014-128888</v>
      </c>
      <c r="B1598" s="29">
        <f>IFERROR(__xludf.DUMMYFUNCTION("""COMPUTED_VALUE"""),41958.0)</f>
        <v>41958</v>
      </c>
      <c r="C1598" s="26" t="str">
        <f>IFERROR(__xludf.DUMMYFUNCTION("""COMPUTED_VALUE"""),"Consumer")</f>
        <v>Consumer</v>
      </c>
      <c r="D1598" s="26" t="str">
        <f>IFERROR(__xludf.DUMMYFUNCTION("""COMPUTED_VALUE"""),"Texas")</f>
        <v>Texas</v>
      </c>
      <c r="E1598" s="26" t="str">
        <f>IFERROR(__xludf.DUMMYFUNCTION("""COMPUTED_VALUE"""),"Central")</f>
        <v>Central</v>
      </c>
      <c r="F1598" s="26">
        <f>IFERROR(__xludf.DUMMYFUNCTION("""COMPUTED_VALUE"""),604.656)</f>
        <v>604.656</v>
      </c>
      <c r="G1598" s="26">
        <f>IFERROR(__xludf.DUMMYFUNCTION("""COMPUTED_VALUE"""),9.0)</f>
        <v>9</v>
      </c>
      <c r="H1598" s="26">
        <f>IFERROR(__xludf.DUMMYFUNCTION("""COMPUTED_VALUE"""),204.0714)</f>
        <v>204.0714</v>
      </c>
    </row>
    <row r="1599">
      <c r="A1599" s="26" t="str">
        <f>IFERROR(__xludf.DUMMYFUNCTION("""COMPUTED_VALUE"""),"CA-2014-127446")</f>
        <v>CA-2014-127446</v>
      </c>
      <c r="B1599" s="29">
        <f>IFERROR(__xludf.DUMMYFUNCTION("""COMPUTED_VALUE"""),41968.0)</f>
        <v>41968</v>
      </c>
      <c r="C1599" s="26" t="str">
        <f>IFERROR(__xludf.DUMMYFUNCTION("""COMPUTED_VALUE"""),"Corporate")</f>
        <v>Corporate</v>
      </c>
      <c r="D1599" s="26" t="str">
        <f>IFERROR(__xludf.DUMMYFUNCTION("""COMPUTED_VALUE"""),"Texas")</f>
        <v>Texas</v>
      </c>
      <c r="E1599" s="26" t="str">
        <f>IFERROR(__xludf.DUMMYFUNCTION("""COMPUTED_VALUE"""),"Central")</f>
        <v>Central</v>
      </c>
      <c r="F1599" s="26">
        <f>IFERROR(__xludf.DUMMYFUNCTION("""COMPUTED_VALUE"""),24.672)</f>
        <v>24.672</v>
      </c>
      <c r="G1599" s="26">
        <f>IFERROR(__xludf.DUMMYFUNCTION("""COMPUTED_VALUE"""),3.0)</f>
        <v>3</v>
      </c>
      <c r="H1599" s="26">
        <f>IFERROR(__xludf.DUMMYFUNCTION("""COMPUTED_VALUE"""),0.0)</f>
        <v>0</v>
      </c>
    </row>
    <row r="1600">
      <c r="A1600" s="26" t="str">
        <f>IFERROR(__xludf.DUMMYFUNCTION("""COMPUTED_VALUE"""),"CA-2014-164861")</f>
        <v>CA-2014-164861</v>
      </c>
      <c r="B1600" s="27">
        <f>IFERROR(__xludf.DUMMYFUNCTION("""COMPUTED_VALUE"""),41976.0)</f>
        <v>41976</v>
      </c>
      <c r="C1600" s="26" t="str">
        <f>IFERROR(__xludf.DUMMYFUNCTION("""COMPUTED_VALUE"""),"Corporate")</f>
        <v>Corporate</v>
      </c>
      <c r="D1600" s="26" t="str">
        <f>IFERROR(__xludf.DUMMYFUNCTION("""COMPUTED_VALUE"""),"Missouri")</f>
        <v>Missouri</v>
      </c>
      <c r="E1600" s="26" t="str">
        <f>IFERROR(__xludf.DUMMYFUNCTION("""COMPUTED_VALUE"""),"Central")</f>
        <v>Central</v>
      </c>
      <c r="F1600" s="26">
        <f>IFERROR(__xludf.DUMMYFUNCTION("""COMPUTED_VALUE"""),25.92)</f>
        <v>25.92</v>
      </c>
      <c r="G1600" s="26">
        <f>IFERROR(__xludf.DUMMYFUNCTION("""COMPUTED_VALUE"""),4.0)</f>
        <v>4</v>
      </c>
      <c r="H1600" s="26">
        <f>IFERROR(__xludf.DUMMYFUNCTION("""COMPUTED_VALUE"""),12.4416)</f>
        <v>12.4416</v>
      </c>
    </row>
    <row r="1601">
      <c r="A1601" s="26" t="str">
        <f>IFERROR(__xludf.DUMMYFUNCTION("""COMPUTED_VALUE"""),"CA-2014-131002")</f>
        <v>CA-2014-131002</v>
      </c>
      <c r="B1601" s="27">
        <f>IFERROR(__xludf.DUMMYFUNCTION("""COMPUTED_VALUE"""),41889.0)</f>
        <v>41889</v>
      </c>
      <c r="C1601" s="26" t="str">
        <f>IFERROR(__xludf.DUMMYFUNCTION("""COMPUTED_VALUE"""),"Consumer")</f>
        <v>Consumer</v>
      </c>
      <c r="D1601" s="26" t="str">
        <f>IFERROR(__xludf.DUMMYFUNCTION("""COMPUTED_VALUE"""),"Oklahoma")</f>
        <v>Oklahoma</v>
      </c>
      <c r="E1601" s="26" t="str">
        <f>IFERROR(__xludf.DUMMYFUNCTION("""COMPUTED_VALUE"""),"Central")</f>
        <v>Central</v>
      </c>
      <c r="F1601" s="26">
        <f>IFERROR(__xludf.DUMMYFUNCTION("""COMPUTED_VALUE"""),57.69)</f>
        <v>57.69</v>
      </c>
      <c r="G1601" s="26">
        <f>IFERROR(__xludf.DUMMYFUNCTION("""COMPUTED_VALUE"""),3.0)</f>
        <v>3</v>
      </c>
      <c r="H1601" s="26">
        <f>IFERROR(__xludf.DUMMYFUNCTION("""COMPUTED_VALUE"""),23.6529)</f>
        <v>23.6529</v>
      </c>
    </row>
    <row r="1602">
      <c r="A1602" s="26" t="str">
        <f>IFERROR(__xludf.DUMMYFUNCTION("""COMPUTED_VALUE"""),"CA-2014-123064")</f>
        <v>CA-2014-123064</v>
      </c>
      <c r="B1602" s="27">
        <f>IFERROR(__xludf.DUMMYFUNCTION("""COMPUTED_VALUE"""),41820.0)</f>
        <v>41820</v>
      </c>
      <c r="C1602" s="26" t="str">
        <f>IFERROR(__xludf.DUMMYFUNCTION("""COMPUTED_VALUE"""),"Consumer")</f>
        <v>Consumer</v>
      </c>
      <c r="D1602" s="26" t="str">
        <f>IFERROR(__xludf.DUMMYFUNCTION("""COMPUTED_VALUE"""),"Illinois")</f>
        <v>Illinois</v>
      </c>
      <c r="E1602" s="26" t="str">
        <f>IFERROR(__xludf.DUMMYFUNCTION("""COMPUTED_VALUE"""),"Central")</f>
        <v>Central</v>
      </c>
      <c r="F1602" s="26">
        <f>IFERROR(__xludf.DUMMYFUNCTION("""COMPUTED_VALUE"""),5.248)</f>
        <v>5.248</v>
      </c>
      <c r="G1602" s="26">
        <f>IFERROR(__xludf.DUMMYFUNCTION("""COMPUTED_VALUE"""),4.0)</f>
        <v>4</v>
      </c>
      <c r="H1602" s="26">
        <f>IFERROR(__xludf.DUMMYFUNCTION("""COMPUTED_VALUE"""),1.64)</f>
        <v>1.64</v>
      </c>
    </row>
    <row r="1603">
      <c r="A1603" s="26" t="str">
        <f>IFERROR(__xludf.DUMMYFUNCTION("""COMPUTED_VALUE"""),"CA-2014-110030")</f>
        <v>CA-2014-110030</v>
      </c>
      <c r="B1603" s="27">
        <f>IFERROR(__xludf.DUMMYFUNCTION("""COMPUTED_VALUE"""),41979.0)</f>
        <v>41979</v>
      </c>
      <c r="C1603" s="26" t="str">
        <f>IFERROR(__xludf.DUMMYFUNCTION("""COMPUTED_VALUE"""),"Consumer")</f>
        <v>Consumer</v>
      </c>
      <c r="D1603" s="26" t="str">
        <f>IFERROR(__xludf.DUMMYFUNCTION("""COMPUTED_VALUE"""),"Texas")</f>
        <v>Texas</v>
      </c>
      <c r="E1603" s="26" t="str">
        <f>IFERROR(__xludf.DUMMYFUNCTION("""COMPUTED_VALUE"""),"Central")</f>
        <v>Central</v>
      </c>
      <c r="F1603" s="26">
        <f>IFERROR(__xludf.DUMMYFUNCTION("""COMPUTED_VALUE"""),23.976)</f>
        <v>23.976</v>
      </c>
      <c r="G1603" s="26">
        <f>IFERROR(__xludf.DUMMYFUNCTION("""COMPUTED_VALUE"""),3.0)</f>
        <v>3</v>
      </c>
      <c r="H1603" s="26">
        <f>IFERROR(__xludf.DUMMYFUNCTION("""COMPUTED_VALUE"""),-14.3856)</f>
        <v>-14.3856</v>
      </c>
    </row>
    <row r="1604">
      <c r="A1604" s="26" t="str">
        <f>IFERROR(__xludf.DUMMYFUNCTION("""COMPUTED_VALUE"""),"US-2014-117744")</f>
        <v>US-2014-117744</v>
      </c>
      <c r="B1604" s="27">
        <f>IFERROR(__xludf.DUMMYFUNCTION("""COMPUTED_VALUE"""),41975.0)</f>
        <v>41975</v>
      </c>
      <c r="C1604" s="26" t="str">
        <f>IFERROR(__xludf.DUMMYFUNCTION("""COMPUTED_VALUE"""),"Corporate")</f>
        <v>Corporate</v>
      </c>
      <c r="D1604" s="26" t="str">
        <f>IFERROR(__xludf.DUMMYFUNCTION("""COMPUTED_VALUE"""),"Texas")</f>
        <v>Texas</v>
      </c>
      <c r="E1604" s="26" t="str">
        <f>IFERROR(__xludf.DUMMYFUNCTION("""COMPUTED_VALUE"""),"Central")</f>
        <v>Central</v>
      </c>
      <c r="F1604" s="26">
        <f>IFERROR(__xludf.DUMMYFUNCTION("""COMPUTED_VALUE"""),58.36)</f>
        <v>58.36</v>
      </c>
      <c r="G1604" s="26">
        <f>IFERROR(__xludf.DUMMYFUNCTION("""COMPUTED_VALUE"""),5.0)</f>
        <v>5</v>
      </c>
      <c r="H1604" s="26">
        <f>IFERROR(__xludf.DUMMYFUNCTION("""COMPUTED_VALUE"""),-24.803)</f>
        <v>-24.803</v>
      </c>
    </row>
    <row r="1605">
      <c r="A1605" s="26" t="str">
        <f>IFERROR(__xludf.DUMMYFUNCTION("""COMPUTED_VALUE"""),"CA-2014-125514")</f>
        <v>CA-2014-125514</v>
      </c>
      <c r="B1605" s="27">
        <f>IFERROR(__xludf.DUMMYFUNCTION("""COMPUTED_VALUE"""),41903.0)</f>
        <v>41903</v>
      </c>
      <c r="C1605" s="26" t="str">
        <f>IFERROR(__xludf.DUMMYFUNCTION("""COMPUTED_VALUE"""),"Corporate")</f>
        <v>Corporate</v>
      </c>
      <c r="D1605" s="26" t="str">
        <f>IFERROR(__xludf.DUMMYFUNCTION("""COMPUTED_VALUE"""),"Nebraska")</f>
        <v>Nebraska</v>
      </c>
      <c r="E1605" s="26" t="str">
        <f>IFERROR(__xludf.DUMMYFUNCTION("""COMPUTED_VALUE"""),"Central")</f>
        <v>Central</v>
      </c>
      <c r="F1605" s="26">
        <f>IFERROR(__xludf.DUMMYFUNCTION("""COMPUTED_VALUE"""),25.96)</f>
        <v>25.96</v>
      </c>
      <c r="G1605" s="26">
        <f>IFERROR(__xludf.DUMMYFUNCTION("""COMPUTED_VALUE"""),2.0)</f>
        <v>2</v>
      </c>
      <c r="H1605" s="26">
        <f>IFERROR(__xludf.DUMMYFUNCTION("""COMPUTED_VALUE"""),7.5284)</f>
        <v>7.5284</v>
      </c>
    </row>
    <row r="1606">
      <c r="A1606" s="26" t="str">
        <f>IFERROR(__xludf.DUMMYFUNCTION("""COMPUTED_VALUE"""),"US-2014-112914")</f>
        <v>US-2014-112914</v>
      </c>
      <c r="B1606" s="27">
        <f>IFERROR(__xludf.DUMMYFUNCTION("""COMPUTED_VALUE"""),41907.0)</f>
        <v>41907</v>
      </c>
      <c r="C1606" s="26" t="str">
        <f>IFERROR(__xludf.DUMMYFUNCTION("""COMPUTED_VALUE"""),"Home Office")</f>
        <v>Home Office</v>
      </c>
      <c r="D1606" s="26" t="str">
        <f>IFERROR(__xludf.DUMMYFUNCTION("""COMPUTED_VALUE"""),"Texas")</f>
        <v>Texas</v>
      </c>
      <c r="E1606" s="26" t="str">
        <f>IFERROR(__xludf.DUMMYFUNCTION("""COMPUTED_VALUE"""),"Central")</f>
        <v>Central</v>
      </c>
      <c r="F1606" s="26">
        <f>IFERROR(__xludf.DUMMYFUNCTION("""COMPUTED_VALUE"""),33.792)</f>
        <v>33.792</v>
      </c>
      <c r="G1606" s="26">
        <f>IFERROR(__xludf.DUMMYFUNCTION("""COMPUTED_VALUE"""),8.0)</f>
        <v>8</v>
      </c>
      <c r="H1606" s="26">
        <f>IFERROR(__xludf.DUMMYFUNCTION("""COMPUTED_VALUE"""),10.56)</f>
        <v>10.56</v>
      </c>
    </row>
    <row r="1607">
      <c r="A1607" s="26" t="str">
        <f>IFERROR(__xludf.DUMMYFUNCTION("""COMPUTED_VALUE"""),"CA-2014-165540")</f>
        <v>CA-2014-165540</v>
      </c>
      <c r="B1607" s="27">
        <f>IFERROR(__xludf.DUMMYFUNCTION("""COMPUTED_VALUE"""),41691.0)</f>
        <v>41691</v>
      </c>
      <c r="C1607" s="26" t="str">
        <f>IFERROR(__xludf.DUMMYFUNCTION("""COMPUTED_VALUE"""),"Consumer")</f>
        <v>Consumer</v>
      </c>
      <c r="D1607" s="26" t="str">
        <f>IFERROR(__xludf.DUMMYFUNCTION("""COMPUTED_VALUE"""),"Illinois")</f>
        <v>Illinois</v>
      </c>
      <c r="E1607" s="26" t="str">
        <f>IFERROR(__xludf.DUMMYFUNCTION("""COMPUTED_VALUE"""),"Central")</f>
        <v>Central</v>
      </c>
      <c r="F1607" s="26">
        <f>IFERROR(__xludf.DUMMYFUNCTION("""COMPUTED_VALUE"""),8.85)</f>
        <v>8.85</v>
      </c>
      <c r="G1607" s="26">
        <f>IFERROR(__xludf.DUMMYFUNCTION("""COMPUTED_VALUE"""),5.0)</f>
        <v>5</v>
      </c>
      <c r="H1607" s="26">
        <f>IFERROR(__xludf.DUMMYFUNCTION("""COMPUTED_VALUE"""),-13.7175)</f>
        <v>-13.7175</v>
      </c>
    </row>
    <row r="1608">
      <c r="A1608" s="26" t="str">
        <f>IFERROR(__xludf.DUMMYFUNCTION("""COMPUTED_VALUE"""),"CA-2014-156993")</f>
        <v>CA-2014-156993</v>
      </c>
      <c r="B1608" s="27">
        <f>IFERROR(__xludf.DUMMYFUNCTION("""COMPUTED_VALUE"""),41818.0)</f>
        <v>41818</v>
      </c>
      <c r="C1608" s="26" t="str">
        <f>IFERROR(__xludf.DUMMYFUNCTION("""COMPUTED_VALUE"""),"Corporate")</f>
        <v>Corporate</v>
      </c>
      <c r="D1608" s="26" t="str">
        <f>IFERROR(__xludf.DUMMYFUNCTION("""COMPUTED_VALUE"""),"Michigan")</f>
        <v>Michigan</v>
      </c>
      <c r="E1608" s="26" t="str">
        <f>IFERROR(__xludf.DUMMYFUNCTION("""COMPUTED_VALUE"""),"Central")</f>
        <v>Central</v>
      </c>
      <c r="F1608" s="26">
        <f>IFERROR(__xludf.DUMMYFUNCTION("""COMPUTED_VALUE"""),6.08)</f>
        <v>6.08</v>
      </c>
      <c r="G1608" s="26">
        <f>IFERROR(__xludf.DUMMYFUNCTION("""COMPUTED_VALUE"""),1.0)</f>
        <v>1</v>
      </c>
      <c r="H1608" s="26">
        <f>IFERROR(__xludf.DUMMYFUNCTION("""COMPUTED_VALUE"""),3.04)</f>
        <v>3.04</v>
      </c>
    </row>
    <row r="1609">
      <c r="A1609" s="26" t="str">
        <f>IFERROR(__xludf.DUMMYFUNCTION("""COMPUTED_VALUE"""),"CA-2014-162866")</f>
        <v>CA-2014-162866</v>
      </c>
      <c r="B1609" s="29">
        <f>IFERROR(__xludf.DUMMYFUNCTION("""COMPUTED_VALUE"""),42000.0)</f>
        <v>42000</v>
      </c>
      <c r="C1609" s="26" t="str">
        <f>IFERROR(__xludf.DUMMYFUNCTION("""COMPUTED_VALUE"""),"Consumer")</f>
        <v>Consumer</v>
      </c>
      <c r="D1609" s="26" t="str">
        <f>IFERROR(__xludf.DUMMYFUNCTION("""COMPUTED_VALUE"""),"Illinois")</f>
        <v>Illinois</v>
      </c>
      <c r="E1609" s="26" t="str">
        <f>IFERROR(__xludf.DUMMYFUNCTION("""COMPUTED_VALUE"""),"Central")</f>
        <v>Central</v>
      </c>
      <c r="F1609" s="26">
        <f>IFERROR(__xludf.DUMMYFUNCTION("""COMPUTED_VALUE"""),32.952)</f>
        <v>32.952</v>
      </c>
      <c r="G1609" s="26">
        <f>IFERROR(__xludf.DUMMYFUNCTION("""COMPUTED_VALUE"""),6.0)</f>
        <v>6</v>
      </c>
      <c r="H1609" s="26">
        <f>IFERROR(__xludf.DUMMYFUNCTION("""COMPUTED_VALUE"""),-19.7712)</f>
        <v>-19.7712</v>
      </c>
    </row>
    <row r="1610">
      <c r="A1610" s="26" t="str">
        <f>IFERROR(__xludf.DUMMYFUNCTION("""COMPUTED_VALUE"""),"CA-2014-148761")</f>
        <v>CA-2014-148761</v>
      </c>
      <c r="B1610" s="27">
        <f>IFERROR(__xludf.DUMMYFUNCTION("""COMPUTED_VALUE"""),41776.0)</f>
        <v>41776</v>
      </c>
      <c r="C1610" s="26" t="str">
        <f>IFERROR(__xludf.DUMMYFUNCTION("""COMPUTED_VALUE"""),"Home Office")</f>
        <v>Home Office</v>
      </c>
      <c r="D1610" s="26" t="str">
        <f>IFERROR(__xludf.DUMMYFUNCTION("""COMPUTED_VALUE"""),"Wisconsin")</f>
        <v>Wisconsin</v>
      </c>
      <c r="E1610" s="26" t="str">
        <f>IFERROR(__xludf.DUMMYFUNCTION("""COMPUTED_VALUE"""),"Central")</f>
        <v>Central</v>
      </c>
      <c r="F1610" s="26">
        <f>IFERROR(__xludf.DUMMYFUNCTION("""COMPUTED_VALUE"""),91.68)</f>
        <v>91.68</v>
      </c>
      <c r="G1610" s="26">
        <f>IFERROR(__xludf.DUMMYFUNCTION("""COMPUTED_VALUE"""),3.0)</f>
        <v>3</v>
      </c>
      <c r="H1610" s="26">
        <f>IFERROR(__xludf.DUMMYFUNCTION("""COMPUTED_VALUE"""),45.84)</f>
        <v>45.84</v>
      </c>
    </row>
    <row r="1611">
      <c r="A1611" s="26" t="str">
        <f>IFERROR(__xludf.DUMMYFUNCTION("""COMPUTED_VALUE"""),"CA-2014-143903")</f>
        <v>CA-2014-143903</v>
      </c>
      <c r="B1611" s="27">
        <f>IFERROR(__xludf.DUMMYFUNCTION("""COMPUTED_VALUE"""),41840.0)</f>
        <v>41840</v>
      </c>
      <c r="C1611" s="26" t="str">
        <f>IFERROR(__xludf.DUMMYFUNCTION("""COMPUTED_VALUE"""),"Home Office")</f>
        <v>Home Office</v>
      </c>
      <c r="D1611" s="26" t="str">
        <f>IFERROR(__xludf.DUMMYFUNCTION("""COMPUTED_VALUE"""),"Texas")</f>
        <v>Texas</v>
      </c>
      <c r="E1611" s="26" t="str">
        <f>IFERROR(__xludf.DUMMYFUNCTION("""COMPUTED_VALUE"""),"Central")</f>
        <v>Central</v>
      </c>
      <c r="F1611" s="26">
        <f>IFERROR(__xludf.DUMMYFUNCTION("""COMPUTED_VALUE"""),342.864)</f>
        <v>342.864</v>
      </c>
      <c r="G1611" s="26">
        <f>IFERROR(__xludf.DUMMYFUNCTION("""COMPUTED_VALUE"""),3.0)</f>
        <v>3</v>
      </c>
      <c r="H1611" s="26">
        <f>IFERROR(__xludf.DUMMYFUNCTION("""COMPUTED_VALUE"""),38.5722)</f>
        <v>38.5722</v>
      </c>
    </row>
    <row r="1612">
      <c r="A1612" s="26" t="str">
        <f>IFERROR(__xludf.DUMMYFUNCTION("""COMPUTED_VALUE"""),"US-2014-122959")</f>
        <v>US-2014-122959</v>
      </c>
      <c r="B1612" s="29">
        <f>IFERROR(__xludf.DUMMYFUNCTION("""COMPUTED_VALUE"""),41985.0)</f>
        <v>41985</v>
      </c>
      <c r="C1612" s="26" t="str">
        <f>IFERROR(__xludf.DUMMYFUNCTION("""COMPUTED_VALUE"""),"Corporate")</f>
        <v>Corporate</v>
      </c>
      <c r="D1612" s="26" t="str">
        <f>IFERROR(__xludf.DUMMYFUNCTION("""COMPUTED_VALUE"""),"Texas")</f>
        <v>Texas</v>
      </c>
      <c r="E1612" s="26" t="str">
        <f>IFERROR(__xludf.DUMMYFUNCTION("""COMPUTED_VALUE"""),"Central")</f>
        <v>Central</v>
      </c>
      <c r="F1612" s="26">
        <f>IFERROR(__xludf.DUMMYFUNCTION("""COMPUTED_VALUE"""),210.392)</f>
        <v>210.392</v>
      </c>
      <c r="G1612" s="26">
        <f>IFERROR(__xludf.DUMMYFUNCTION("""COMPUTED_VALUE"""),2.0)</f>
        <v>2</v>
      </c>
      <c r="H1612" s="26">
        <f>IFERROR(__xludf.DUMMYFUNCTION("""COMPUTED_VALUE"""),-336.6272)</f>
        <v>-336.6272</v>
      </c>
    </row>
    <row r="1613">
      <c r="A1613" s="26" t="str">
        <f>IFERROR(__xludf.DUMMYFUNCTION("""COMPUTED_VALUE"""),"US-2014-150924")</f>
        <v>US-2014-150924</v>
      </c>
      <c r="B1613" s="27">
        <f>IFERROR(__xludf.DUMMYFUNCTION("""COMPUTED_VALUE"""),41894.0)</f>
        <v>41894</v>
      </c>
      <c r="C1613" s="26" t="str">
        <f>IFERROR(__xludf.DUMMYFUNCTION("""COMPUTED_VALUE"""),"Consumer")</f>
        <v>Consumer</v>
      </c>
      <c r="D1613" s="26" t="str">
        <f>IFERROR(__xludf.DUMMYFUNCTION("""COMPUTED_VALUE"""),"Texas")</f>
        <v>Texas</v>
      </c>
      <c r="E1613" s="26" t="str">
        <f>IFERROR(__xludf.DUMMYFUNCTION("""COMPUTED_VALUE"""),"Central")</f>
        <v>Central</v>
      </c>
      <c r="F1613" s="26">
        <f>IFERROR(__xludf.DUMMYFUNCTION("""COMPUTED_VALUE"""),5.18)</f>
        <v>5.18</v>
      </c>
      <c r="G1613" s="26">
        <f>IFERROR(__xludf.DUMMYFUNCTION("""COMPUTED_VALUE"""),5.0)</f>
        <v>5</v>
      </c>
      <c r="H1613" s="26">
        <f>IFERROR(__xludf.DUMMYFUNCTION("""COMPUTED_VALUE"""),-8.029)</f>
        <v>-8.029</v>
      </c>
    </row>
    <row r="1614">
      <c r="A1614" s="26" t="str">
        <f>IFERROR(__xludf.DUMMYFUNCTION("""COMPUTED_VALUE"""),"CA-2014-123498")</f>
        <v>CA-2014-123498</v>
      </c>
      <c r="B1614" s="27">
        <f>IFERROR(__xludf.DUMMYFUNCTION("""COMPUTED_VALUE"""),41950.0)</f>
        <v>41950</v>
      </c>
      <c r="C1614" s="26" t="str">
        <f>IFERROR(__xludf.DUMMYFUNCTION("""COMPUTED_VALUE"""),"Corporate")</f>
        <v>Corporate</v>
      </c>
      <c r="D1614" s="26" t="str">
        <f>IFERROR(__xludf.DUMMYFUNCTION("""COMPUTED_VALUE"""),"Texas")</f>
        <v>Texas</v>
      </c>
      <c r="E1614" s="26" t="str">
        <f>IFERROR(__xludf.DUMMYFUNCTION("""COMPUTED_VALUE"""),"Central")</f>
        <v>Central</v>
      </c>
      <c r="F1614" s="26">
        <f>IFERROR(__xludf.DUMMYFUNCTION("""COMPUTED_VALUE"""),26.046)</f>
        <v>26.046</v>
      </c>
      <c r="G1614" s="26">
        <f>IFERROR(__xludf.DUMMYFUNCTION("""COMPUTED_VALUE"""),3.0)</f>
        <v>3</v>
      </c>
      <c r="H1614" s="26">
        <f>IFERROR(__xludf.DUMMYFUNCTION("""COMPUTED_VALUE"""),-44.2782)</f>
        <v>-44.2782</v>
      </c>
    </row>
    <row r="1615">
      <c r="A1615" s="26" t="str">
        <f>IFERROR(__xludf.DUMMYFUNCTION("""COMPUTED_VALUE"""),"CA-2014-165428")</f>
        <v>CA-2014-165428</v>
      </c>
      <c r="B1615" s="27">
        <f>IFERROR(__xludf.DUMMYFUNCTION("""COMPUTED_VALUE"""),41883.0)</f>
        <v>41883</v>
      </c>
      <c r="C1615" s="26" t="str">
        <f>IFERROR(__xludf.DUMMYFUNCTION("""COMPUTED_VALUE"""),"Consumer")</f>
        <v>Consumer</v>
      </c>
      <c r="D1615" s="26" t="str">
        <f>IFERROR(__xludf.DUMMYFUNCTION("""COMPUTED_VALUE"""),"Texas")</f>
        <v>Texas</v>
      </c>
      <c r="E1615" s="26" t="str">
        <f>IFERROR(__xludf.DUMMYFUNCTION("""COMPUTED_VALUE"""),"Central")</f>
        <v>Central</v>
      </c>
      <c r="F1615" s="26">
        <f>IFERROR(__xludf.DUMMYFUNCTION("""COMPUTED_VALUE"""),3.648)</f>
        <v>3.648</v>
      </c>
      <c r="G1615" s="26">
        <f>IFERROR(__xludf.DUMMYFUNCTION("""COMPUTED_VALUE"""),3.0)</f>
        <v>3</v>
      </c>
      <c r="H1615" s="26">
        <f>IFERROR(__xludf.DUMMYFUNCTION("""COMPUTED_VALUE"""),-6.0192)</f>
        <v>-6.0192</v>
      </c>
    </row>
    <row r="1616">
      <c r="A1616" s="26" t="str">
        <f>IFERROR(__xludf.DUMMYFUNCTION("""COMPUTED_VALUE"""),"CA-2014-142314")</f>
        <v>CA-2014-142314</v>
      </c>
      <c r="B1616" s="29">
        <f>IFERROR(__xludf.DUMMYFUNCTION("""COMPUTED_VALUE"""),41996.0)</f>
        <v>41996</v>
      </c>
      <c r="C1616" s="26" t="str">
        <f>IFERROR(__xludf.DUMMYFUNCTION("""COMPUTED_VALUE"""),"Consumer")</f>
        <v>Consumer</v>
      </c>
      <c r="D1616" s="26" t="str">
        <f>IFERROR(__xludf.DUMMYFUNCTION("""COMPUTED_VALUE"""),"Indiana")</f>
        <v>Indiana</v>
      </c>
      <c r="E1616" s="26" t="str">
        <f>IFERROR(__xludf.DUMMYFUNCTION("""COMPUTED_VALUE"""),"Central")</f>
        <v>Central</v>
      </c>
      <c r="F1616" s="26">
        <f>IFERROR(__xludf.DUMMYFUNCTION("""COMPUTED_VALUE"""),207.24)</f>
        <v>207.24</v>
      </c>
      <c r="G1616" s="26">
        <f>IFERROR(__xludf.DUMMYFUNCTION("""COMPUTED_VALUE"""),11.0)</f>
        <v>11</v>
      </c>
      <c r="H1616" s="26">
        <f>IFERROR(__xludf.DUMMYFUNCTION("""COMPUTED_VALUE"""),58.0272)</f>
        <v>58.0272</v>
      </c>
    </row>
    <row r="1617">
      <c r="A1617" s="26" t="str">
        <f>IFERROR(__xludf.DUMMYFUNCTION("""COMPUTED_VALUE"""),"CA-2014-151554")</f>
        <v>CA-2014-151554</v>
      </c>
      <c r="B1617" s="29">
        <f>IFERROR(__xludf.DUMMYFUNCTION("""COMPUTED_VALUE"""),41957.0)</f>
        <v>41957</v>
      </c>
      <c r="C1617" s="26" t="str">
        <f>IFERROR(__xludf.DUMMYFUNCTION("""COMPUTED_VALUE"""),"Corporate")</f>
        <v>Corporate</v>
      </c>
      <c r="D1617" s="26" t="str">
        <f>IFERROR(__xludf.DUMMYFUNCTION("""COMPUTED_VALUE"""),"Texas")</f>
        <v>Texas</v>
      </c>
      <c r="E1617" s="26" t="str">
        <f>IFERROR(__xludf.DUMMYFUNCTION("""COMPUTED_VALUE"""),"Central")</f>
        <v>Central</v>
      </c>
      <c r="F1617" s="26">
        <f>IFERROR(__xludf.DUMMYFUNCTION("""COMPUTED_VALUE"""),20.736)</f>
        <v>20.736</v>
      </c>
      <c r="G1617" s="26">
        <f>IFERROR(__xludf.DUMMYFUNCTION("""COMPUTED_VALUE"""),4.0)</f>
        <v>4</v>
      </c>
      <c r="H1617" s="26">
        <f>IFERROR(__xludf.DUMMYFUNCTION("""COMPUTED_VALUE"""),7.2576)</f>
        <v>7.2576</v>
      </c>
    </row>
    <row r="1618">
      <c r="A1618" s="26" t="str">
        <f>IFERROR(__xludf.DUMMYFUNCTION("""COMPUTED_VALUE"""),"CA-2014-115980")</f>
        <v>CA-2014-115980</v>
      </c>
      <c r="B1618" s="27">
        <f>IFERROR(__xludf.DUMMYFUNCTION("""COMPUTED_VALUE"""),41835.0)</f>
        <v>41835</v>
      </c>
      <c r="C1618" s="26" t="str">
        <f>IFERROR(__xludf.DUMMYFUNCTION("""COMPUTED_VALUE"""),"Corporate")</f>
        <v>Corporate</v>
      </c>
      <c r="D1618" s="26" t="str">
        <f>IFERROR(__xludf.DUMMYFUNCTION("""COMPUTED_VALUE"""),"South Dakota")</f>
        <v>South Dakota</v>
      </c>
      <c r="E1618" s="26" t="str">
        <f>IFERROR(__xludf.DUMMYFUNCTION("""COMPUTED_VALUE"""),"Central")</f>
        <v>Central</v>
      </c>
      <c r="F1618" s="26">
        <f>IFERROR(__xludf.DUMMYFUNCTION("""COMPUTED_VALUE"""),2.97)</f>
        <v>2.97</v>
      </c>
      <c r="G1618" s="26">
        <f>IFERROR(__xludf.DUMMYFUNCTION("""COMPUTED_VALUE"""),3.0)</f>
        <v>3</v>
      </c>
      <c r="H1618" s="26">
        <f>IFERROR(__xludf.DUMMYFUNCTION("""COMPUTED_VALUE"""),1.3068)</f>
        <v>1.3068</v>
      </c>
    </row>
    <row r="1619">
      <c r="A1619" s="26" t="str">
        <f>IFERROR(__xludf.DUMMYFUNCTION("""COMPUTED_VALUE"""),"CA-2014-138023")</f>
        <v>CA-2014-138023</v>
      </c>
      <c r="B1619" s="27">
        <f>IFERROR(__xludf.DUMMYFUNCTION("""COMPUTED_VALUE"""),41866.0)</f>
        <v>41866</v>
      </c>
      <c r="C1619" s="26" t="str">
        <f>IFERROR(__xludf.DUMMYFUNCTION("""COMPUTED_VALUE"""),"Consumer")</f>
        <v>Consumer</v>
      </c>
      <c r="D1619" s="26" t="str">
        <f>IFERROR(__xludf.DUMMYFUNCTION("""COMPUTED_VALUE"""),"Texas")</f>
        <v>Texas</v>
      </c>
      <c r="E1619" s="26" t="str">
        <f>IFERROR(__xludf.DUMMYFUNCTION("""COMPUTED_VALUE"""),"Central")</f>
        <v>Central</v>
      </c>
      <c r="F1619" s="26">
        <f>IFERROR(__xludf.DUMMYFUNCTION("""COMPUTED_VALUE"""),30.96)</f>
        <v>30.96</v>
      </c>
      <c r="G1619" s="26">
        <f>IFERROR(__xludf.DUMMYFUNCTION("""COMPUTED_VALUE"""),8.0)</f>
        <v>8</v>
      </c>
      <c r="H1619" s="26">
        <f>IFERROR(__xludf.DUMMYFUNCTION("""COMPUTED_VALUE"""),-52.632)</f>
        <v>-52.632</v>
      </c>
    </row>
    <row r="1620">
      <c r="A1620" s="26" t="str">
        <f>IFERROR(__xludf.DUMMYFUNCTION("""COMPUTED_VALUE"""),"CA-2014-104738")</f>
        <v>CA-2014-104738</v>
      </c>
      <c r="B1620" s="29">
        <f>IFERROR(__xludf.DUMMYFUNCTION("""COMPUTED_VALUE"""),42003.0)</f>
        <v>42003</v>
      </c>
      <c r="C1620" s="26" t="str">
        <f>IFERROR(__xludf.DUMMYFUNCTION("""COMPUTED_VALUE"""),"Corporate")</f>
        <v>Corporate</v>
      </c>
      <c r="D1620" s="26" t="str">
        <f>IFERROR(__xludf.DUMMYFUNCTION("""COMPUTED_VALUE"""),"Texas")</f>
        <v>Texas</v>
      </c>
      <c r="E1620" s="26" t="str">
        <f>IFERROR(__xludf.DUMMYFUNCTION("""COMPUTED_VALUE"""),"Central")</f>
        <v>Central</v>
      </c>
      <c r="F1620" s="26">
        <f>IFERROR(__xludf.DUMMYFUNCTION("""COMPUTED_VALUE"""),12.984)</f>
        <v>12.984</v>
      </c>
      <c r="G1620" s="26">
        <f>IFERROR(__xludf.DUMMYFUNCTION("""COMPUTED_VALUE"""),3.0)</f>
        <v>3</v>
      </c>
      <c r="H1620" s="26">
        <f>IFERROR(__xludf.DUMMYFUNCTION("""COMPUTED_VALUE"""),4.7067)</f>
        <v>4.7067</v>
      </c>
    </row>
    <row r="1621">
      <c r="A1621" s="26" t="str">
        <f>IFERROR(__xludf.DUMMYFUNCTION("""COMPUTED_VALUE"""),"CA-2014-165309")</f>
        <v>CA-2014-165309</v>
      </c>
      <c r="B1621" s="29">
        <f>IFERROR(__xludf.DUMMYFUNCTION("""COMPUTED_VALUE"""),41954.0)</f>
        <v>41954</v>
      </c>
      <c r="C1621" s="26" t="str">
        <f>IFERROR(__xludf.DUMMYFUNCTION("""COMPUTED_VALUE"""),"Consumer")</f>
        <v>Consumer</v>
      </c>
      <c r="D1621" s="26" t="str">
        <f>IFERROR(__xludf.DUMMYFUNCTION("""COMPUTED_VALUE"""),"Texas")</f>
        <v>Texas</v>
      </c>
      <c r="E1621" s="26" t="str">
        <f>IFERROR(__xludf.DUMMYFUNCTION("""COMPUTED_VALUE"""),"Central")</f>
        <v>Central</v>
      </c>
      <c r="F1621" s="26">
        <f>IFERROR(__xludf.DUMMYFUNCTION("""COMPUTED_VALUE"""),896.99)</f>
        <v>896.99</v>
      </c>
      <c r="G1621" s="26">
        <f>IFERROR(__xludf.DUMMYFUNCTION("""COMPUTED_VALUE"""),5.0)</f>
        <v>5</v>
      </c>
      <c r="H1621" s="26">
        <f>IFERROR(__xludf.DUMMYFUNCTION("""COMPUTED_VALUE"""),-1480.0335)</f>
        <v>-1480.0335</v>
      </c>
    </row>
    <row r="1622">
      <c r="A1622" s="26" t="str">
        <f>IFERROR(__xludf.DUMMYFUNCTION("""COMPUTED_VALUE"""),"CA-2014-165379")</f>
        <v>CA-2014-165379</v>
      </c>
      <c r="B1622" s="27">
        <f>IFERROR(__xludf.DUMMYFUNCTION("""COMPUTED_VALUE"""),41829.0)</f>
        <v>41829</v>
      </c>
      <c r="C1622" s="26" t="str">
        <f>IFERROR(__xludf.DUMMYFUNCTION("""COMPUTED_VALUE"""),"Corporate")</f>
        <v>Corporate</v>
      </c>
      <c r="D1622" s="26" t="str">
        <f>IFERROR(__xludf.DUMMYFUNCTION("""COMPUTED_VALUE"""),"Texas")</f>
        <v>Texas</v>
      </c>
      <c r="E1622" s="26" t="str">
        <f>IFERROR(__xludf.DUMMYFUNCTION("""COMPUTED_VALUE"""),"Central")</f>
        <v>Central</v>
      </c>
      <c r="F1622" s="26">
        <f>IFERROR(__xludf.DUMMYFUNCTION("""COMPUTED_VALUE"""),10.368)</f>
        <v>10.368</v>
      </c>
      <c r="G1622" s="26">
        <f>IFERROR(__xludf.DUMMYFUNCTION("""COMPUTED_VALUE"""),2.0)</f>
        <v>2</v>
      </c>
      <c r="H1622" s="26">
        <f>IFERROR(__xludf.DUMMYFUNCTION("""COMPUTED_VALUE"""),3.6288)</f>
        <v>3.6288</v>
      </c>
    </row>
    <row r="1623">
      <c r="A1623" s="26" t="str">
        <f>IFERROR(__xludf.DUMMYFUNCTION("""COMPUTED_VALUE"""),"CA-2014-105340")</f>
        <v>CA-2014-105340</v>
      </c>
      <c r="B1623" s="29">
        <f>IFERROR(__xludf.DUMMYFUNCTION("""COMPUTED_VALUE"""),41965.0)</f>
        <v>41965</v>
      </c>
      <c r="C1623" s="26" t="str">
        <f>IFERROR(__xludf.DUMMYFUNCTION("""COMPUTED_VALUE"""),"Consumer")</f>
        <v>Consumer</v>
      </c>
      <c r="D1623" s="26" t="str">
        <f>IFERROR(__xludf.DUMMYFUNCTION("""COMPUTED_VALUE"""),"Texas")</f>
        <v>Texas</v>
      </c>
      <c r="E1623" s="26" t="str">
        <f>IFERROR(__xludf.DUMMYFUNCTION("""COMPUTED_VALUE"""),"Central")</f>
        <v>Central</v>
      </c>
      <c r="F1623" s="26">
        <f>IFERROR(__xludf.DUMMYFUNCTION("""COMPUTED_VALUE"""),6.928)</f>
        <v>6.928</v>
      </c>
      <c r="G1623" s="26">
        <f>IFERROR(__xludf.DUMMYFUNCTION("""COMPUTED_VALUE"""),1.0)</f>
        <v>1</v>
      </c>
      <c r="H1623" s="26">
        <f>IFERROR(__xludf.DUMMYFUNCTION("""COMPUTED_VALUE"""),-11.0848)</f>
        <v>-11.0848</v>
      </c>
    </row>
    <row r="1624">
      <c r="A1624" s="26" t="str">
        <f>IFERROR(__xludf.DUMMYFUNCTION("""COMPUTED_VALUE"""),"CA-2014-166863")</f>
        <v>CA-2014-166863</v>
      </c>
      <c r="B1624" s="27">
        <f>IFERROR(__xludf.DUMMYFUNCTION("""COMPUTED_VALUE"""),41810.0)</f>
        <v>41810</v>
      </c>
      <c r="C1624" s="26" t="str">
        <f>IFERROR(__xludf.DUMMYFUNCTION("""COMPUTED_VALUE"""),"Consumer")</f>
        <v>Consumer</v>
      </c>
      <c r="D1624" s="26" t="str">
        <f>IFERROR(__xludf.DUMMYFUNCTION("""COMPUTED_VALUE"""),"Texas")</f>
        <v>Texas</v>
      </c>
      <c r="E1624" s="26" t="str">
        <f>IFERROR(__xludf.DUMMYFUNCTION("""COMPUTED_VALUE"""),"Central")</f>
        <v>Central</v>
      </c>
      <c r="F1624" s="26">
        <f>IFERROR(__xludf.DUMMYFUNCTION("""COMPUTED_VALUE"""),201.584)</f>
        <v>201.584</v>
      </c>
      <c r="G1624" s="26">
        <f>IFERROR(__xludf.DUMMYFUNCTION("""COMPUTED_VALUE"""),2.0)</f>
        <v>2</v>
      </c>
      <c r="H1624" s="26">
        <f>IFERROR(__xludf.DUMMYFUNCTION("""COMPUTED_VALUE"""),20.1584)</f>
        <v>20.1584</v>
      </c>
    </row>
    <row r="1625">
      <c r="A1625" s="26" t="str">
        <f>IFERROR(__xludf.DUMMYFUNCTION("""COMPUTED_VALUE"""),"CA-2014-154186")</f>
        <v>CA-2014-154186</v>
      </c>
      <c r="B1625" s="29">
        <f>IFERROR(__xludf.DUMMYFUNCTION("""COMPUTED_VALUE"""),41986.0)</f>
        <v>41986</v>
      </c>
      <c r="C1625" s="26" t="str">
        <f>IFERROR(__xludf.DUMMYFUNCTION("""COMPUTED_VALUE"""),"Consumer")</f>
        <v>Consumer</v>
      </c>
      <c r="D1625" s="26" t="str">
        <f>IFERROR(__xludf.DUMMYFUNCTION("""COMPUTED_VALUE"""),"Texas")</f>
        <v>Texas</v>
      </c>
      <c r="E1625" s="26" t="str">
        <f>IFERROR(__xludf.DUMMYFUNCTION("""COMPUTED_VALUE"""),"Central")</f>
        <v>Central</v>
      </c>
      <c r="F1625" s="26">
        <f>IFERROR(__xludf.DUMMYFUNCTION("""COMPUTED_VALUE"""),2.92)</f>
        <v>2.92</v>
      </c>
      <c r="G1625" s="26">
        <f>IFERROR(__xludf.DUMMYFUNCTION("""COMPUTED_VALUE"""),1.0)</f>
        <v>1</v>
      </c>
      <c r="H1625" s="26">
        <f>IFERROR(__xludf.DUMMYFUNCTION("""COMPUTED_VALUE"""),0.365)</f>
        <v>0.365</v>
      </c>
    </row>
    <row r="1626">
      <c r="A1626" s="26" t="str">
        <f>IFERROR(__xludf.DUMMYFUNCTION("""COMPUTED_VALUE"""),"CA-2014-120544")</f>
        <v>CA-2014-120544</v>
      </c>
      <c r="B1626" s="29">
        <f>IFERROR(__xludf.DUMMYFUNCTION("""COMPUTED_VALUE"""),41966.0)</f>
        <v>41966</v>
      </c>
      <c r="C1626" s="26" t="str">
        <f>IFERROR(__xludf.DUMMYFUNCTION("""COMPUTED_VALUE"""),"Corporate")</f>
        <v>Corporate</v>
      </c>
      <c r="D1626" s="26" t="str">
        <f>IFERROR(__xludf.DUMMYFUNCTION("""COMPUTED_VALUE"""),"Texas")</f>
        <v>Texas</v>
      </c>
      <c r="E1626" s="26" t="str">
        <f>IFERROR(__xludf.DUMMYFUNCTION("""COMPUTED_VALUE"""),"Central")</f>
        <v>Central</v>
      </c>
      <c r="F1626" s="26">
        <f>IFERROR(__xludf.DUMMYFUNCTION("""COMPUTED_VALUE"""),6.368)</f>
        <v>6.368</v>
      </c>
      <c r="G1626" s="26">
        <f>IFERROR(__xludf.DUMMYFUNCTION("""COMPUTED_VALUE"""),2.0)</f>
        <v>2</v>
      </c>
      <c r="H1626" s="26">
        <f>IFERROR(__xludf.DUMMYFUNCTION("""COMPUTED_VALUE"""),-2.5472)</f>
        <v>-2.5472</v>
      </c>
    </row>
    <row r="1627">
      <c r="A1627" s="26" t="str">
        <f>IFERROR(__xludf.DUMMYFUNCTION("""COMPUTED_VALUE"""),"CA-2014-149643")</f>
        <v>CA-2014-149643</v>
      </c>
      <c r="B1627" s="29">
        <f>IFERROR(__xludf.DUMMYFUNCTION("""COMPUTED_VALUE"""),41959.0)</f>
        <v>41959</v>
      </c>
      <c r="C1627" s="26" t="str">
        <f>IFERROR(__xludf.DUMMYFUNCTION("""COMPUTED_VALUE"""),"Home Office")</f>
        <v>Home Office</v>
      </c>
      <c r="D1627" s="26" t="str">
        <f>IFERROR(__xludf.DUMMYFUNCTION("""COMPUTED_VALUE"""),"Kansas")</f>
        <v>Kansas</v>
      </c>
      <c r="E1627" s="26" t="str">
        <f>IFERROR(__xludf.DUMMYFUNCTION("""COMPUTED_VALUE"""),"Central")</f>
        <v>Central</v>
      </c>
      <c r="F1627" s="26">
        <f>IFERROR(__xludf.DUMMYFUNCTION("""COMPUTED_VALUE"""),273.96)</f>
        <v>273.96</v>
      </c>
      <c r="G1627" s="26">
        <f>IFERROR(__xludf.DUMMYFUNCTION("""COMPUTED_VALUE"""),2.0)</f>
        <v>2</v>
      </c>
      <c r="H1627" s="26">
        <f>IFERROR(__xludf.DUMMYFUNCTION("""COMPUTED_VALUE"""),10.9584)</f>
        <v>10.9584</v>
      </c>
    </row>
    <row r="1628">
      <c r="A1628" s="26" t="str">
        <f>IFERROR(__xludf.DUMMYFUNCTION("""COMPUTED_VALUE"""),"CA-2014-132801")</f>
        <v>CA-2014-132801</v>
      </c>
      <c r="B1628" s="27">
        <f>IFERROR(__xludf.DUMMYFUNCTION("""COMPUTED_VALUE"""),41919.0)</f>
        <v>41919</v>
      </c>
      <c r="C1628" s="26" t="str">
        <f>IFERROR(__xludf.DUMMYFUNCTION("""COMPUTED_VALUE"""),"Corporate")</f>
        <v>Corporate</v>
      </c>
      <c r="D1628" s="26" t="str">
        <f>IFERROR(__xludf.DUMMYFUNCTION("""COMPUTED_VALUE"""),"Texas")</f>
        <v>Texas</v>
      </c>
      <c r="E1628" s="26" t="str">
        <f>IFERROR(__xludf.DUMMYFUNCTION("""COMPUTED_VALUE"""),"Central")</f>
        <v>Central</v>
      </c>
      <c r="F1628" s="26">
        <f>IFERROR(__xludf.DUMMYFUNCTION("""COMPUTED_VALUE"""),107.44)</f>
        <v>107.44</v>
      </c>
      <c r="G1628" s="26">
        <f>IFERROR(__xludf.DUMMYFUNCTION("""COMPUTED_VALUE"""),10.0)</f>
        <v>10</v>
      </c>
      <c r="H1628" s="26">
        <f>IFERROR(__xludf.DUMMYFUNCTION("""COMPUTED_VALUE"""),10.744)</f>
        <v>10.744</v>
      </c>
    </row>
    <row r="1629">
      <c r="A1629" s="26" t="str">
        <f>IFERROR(__xludf.DUMMYFUNCTION("""COMPUTED_VALUE"""),"CA-2014-151001")</f>
        <v>CA-2014-151001</v>
      </c>
      <c r="B1629" s="27">
        <f>IFERROR(__xludf.DUMMYFUNCTION("""COMPUTED_VALUE"""),41734.0)</f>
        <v>41734</v>
      </c>
      <c r="C1629" s="26" t="str">
        <f>IFERROR(__xludf.DUMMYFUNCTION("""COMPUTED_VALUE"""),"Corporate")</f>
        <v>Corporate</v>
      </c>
      <c r="D1629" s="26" t="str">
        <f>IFERROR(__xludf.DUMMYFUNCTION("""COMPUTED_VALUE"""),"Illinois")</f>
        <v>Illinois</v>
      </c>
      <c r="E1629" s="26" t="str">
        <f>IFERROR(__xludf.DUMMYFUNCTION("""COMPUTED_VALUE"""),"Central")</f>
        <v>Central</v>
      </c>
      <c r="F1629" s="26">
        <f>IFERROR(__xludf.DUMMYFUNCTION("""COMPUTED_VALUE"""),49.632)</f>
        <v>49.632</v>
      </c>
      <c r="G1629" s="26">
        <f>IFERROR(__xludf.DUMMYFUNCTION("""COMPUTED_VALUE"""),4.0)</f>
        <v>4</v>
      </c>
      <c r="H1629" s="26">
        <f>IFERROR(__xludf.DUMMYFUNCTION("""COMPUTED_VALUE"""),3.7224)</f>
        <v>3.7224</v>
      </c>
    </row>
    <row r="1630">
      <c r="A1630" s="26" t="str">
        <f>IFERROR(__xludf.DUMMYFUNCTION("""COMPUTED_VALUE"""),"US-2014-112200")</f>
        <v>US-2014-112200</v>
      </c>
      <c r="B1630" s="29">
        <f>IFERROR(__xludf.DUMMYFUNCTION("""COMPUTED_VALUE"""),41965.0)</f>
        <v>41965</v>
      </c>
      <c r="C1630" s="26" t="str">
        <f>IFERROR(__xludf.DUMMYFUNCTION("""COMPUTED_VALUE"""),"Home Office")</f>
        <v>Home Office</v>
      </c>
      <c r="D1630" s="26" t="str">
        <f>IFERROR(__xludf.DUMMYFUNCTION("""COMPUTED_VALUE"""),"Illinois")</f>
        <v>Illinois</v>
      </c>
      <c r="E1630" s="26" t="str">
        <f>IFERROR(__xludf.DUMMYFUNCTION("""COMPUTED_VALUE"""),"Central")</f>
        <v>Central</v>
      </c>
      <c r="F1630" s="26">
        <f>IFERROR(__xludf.DUMMYFUNCTION("""COMPUTED_VALUE"""),9.98)</f>
        <v>9.98</v>
      </c>
      <c r="G1630" s="26">
        <f>IFERROR(__xludf.DUMMYFUNCTION("""COMPUTED_VALUE"""),5.0)</f>
        <v>5</v>
      </c>
      <c r="H1630" s="26">
        <f>IFERROR(__xludf.DUMMYFUNCTION("""COMPUTED_VALUE"""),-16.467)</f>
        <v>-16.467</v>
      </c>
    </row>
    <row r="1631">
      <c r="A1631" s="26" t="str">
        <f>IFERROR(__xludf.DUMMYFUNCTION("""COMPUTED_VALUE"""),"CA-2014-133228")</f>
        <v>CA-2014-133228</v>
      </c>
      <c r="B1631" s="27">
        <f>IFERROR(__xludf.DUMMYFUNCTION("""COMPUTED_VALUE"""),41733.0)</f>
        <v>41733</v>
      </c>
      <c r="C1631" s="26" t="str">
        <f>IFERROR(__xludf.DUMMYFUNCTION("""COMPUTED_VALUE"""),"Consumer")</f>
        <v>Consumer</v>
      </c>
      <c r="D1631" s="26" t="str">
        <f>IFERROR(__xludf.DUMMYFUNCTION("""COMPUTED_VALUE"""),"Michigan")</f>
        <v>Michigan</v>
      </c>
      <c r="E1631" s="26" t="str">
        <f>IFERROR(__xludf.DUMMYFUNCTION("""COMPUTED_VALUE"""),"Central")</f>
        <v>Central</v>
      </c>
      <c r="F1631" s="26">
        <f>IFERROR(__xludf.DUMMYFUNCTION("""COMPUTED_VALUE"""),5.47)</f>
        <v>5.47</v>
      </c>
      <c r="G1631" s="26">
        <f>IFERROR(__xludf.DUMMYFUNCTION("""COMPUTED_VALUE"""),1.0)</f>
        <v>1</v>
      </c>
      <c r="H1631" s="26">
        <f>IFERROR(__xludf.DUMMYFUNCTION("""COMPUTED_VALUE"""),2.3521)</f>
        <v>2.3521</v>
      </c>
    </row>
    <row r="1632">
      <c r="A1632" s="26" t="str">
        <f>IFERROR(__xludf.DUMMYFUNCTION("""COMPUTED_VALUE"""),"CA-2014-163034")</f>
        <v>CA-2014-163034</v>
      </c>
      <c r="B1632" s="29">
        <f>IFERROR(__xludf.DUMMYFUNCTION("""COMPUTED_VALUE"""),41967.0)</f>
        <v>41967</v>
      </c>
      <c r="C1632" s="26" t="str">
        <f>IFERROR(__xludf.DUMMYFUNCTION("""COMPUTED_VALUE"""),"Consumer")</f>
        <v>Consumer</v>
      </c>
      <c r="D1632" s="26" t="str">
        <f>IFERROR(__xludf.DUMMYFUNCTION("""COMPUTED_VALUE"""),"Illinois")</f>
        <v>Illinois</v>
      </c>
      <c r="E1632" s="26" t="str">
        <f>IFERROR(__xludf.DUMMYFUNCTION("""COMPUTED_VALUE"""),"Central")</f>
        <v>Central</v>
      </c>
      <c r="F1632" s="26">
        <f>IFERROR(__xludf.DUMMYFUNCTION("""COMPUTED_VALUE"""),646.2)</f>
        <v>646.2</v>
      </c>
      <c r="G1632" s="26">
        <f>IFERROR(__xludf.DUMMYFUNCTION("""COMPUTED_VALUE"""),5.0)</f>
        <v>5</v>
      </c>
      <c r="H1632" s="26">
        <f>IFERROR(__xludf.DUMMYFUNCTION("""COMPUTED_VALUE"""),-8.0775)</f>
        <v>-8.0775</v>
      </c>
    </row>
    <row r="1633">
      <c r="A1633" s="26" t="str">
        <f>IFERROR(__xludf.DUMMYFUNCTION("""COMPUTED_VALUE"""),"CA-2014-116904")</f>
        <v>CA-2014-116904</v>
      </c>
      <c r="B1633" s="27">
        <f>IFERROR(__xludf.DUMMYFUNCTION("""COMPUTED_VALUE"""),41905.0)</f>
        <v>41905</v>
      </c>
      <c r="C1633" s="26" t="str">
        <f>IFERROR(__xludf.DUMMYFUNCTION("""COMPUTED_VALUE"""),"Consumer")</f>
        <v>Consumer</v>
      </c>
      <c r="D1633" s="26" t="str">
        <f>IFERROR(__xludf.DUMMYFUNCTION("""COMPUTED_VALUE"""),"Minnesota")</f>
        <v>Minnesota</v>
      </c>
      <c r="E1633" s="26" t="str">
        <f>IFERROR(__xludf.DUMMYFUNCTION("""COMPUTED_VALUE"""),"Central")</f>
        <v>Central</v>
      </c>
      <c r="F1633" s="26">
        <f>IFERROR(__xludf.DUMMYFUNCTION("""COMPUTED_VALUE"""),32.4)</f>
        <v>32.4</v>
      </c>
      <c r="G1633" s="26">
        <f>IFERROR(__xludf.DUMMYFUNCTION("""COMPUTED_VALUE"""),5.0)</f>
        <v>5</v>
      </c>
      <c r="H1633" s="26">
        <f>IFERROR(__xludf.DUMMYFUNCTION("""COMPUTED_VALUE"""),15.552)</f>
        <v>15.552</v>
      </c>
    </row>
    <row r="1634">
      <c r="A1634" s="26" t="str">
        <f>IFERROR(__xludf.DUMMYFUNCTION("""COMPUTED_VALUE"""),"CA-2014-115336")</f>
        <v>CA-2014-115336</v>
      </c>
      <c r="B1634" s="29">
        <f>IFERROR(__xludf.DUMMYFUNCTION("""COMPUTED_VALUE"""),41961.0)</f>
        <v>41961</v>
      </c>
      <c r="C1634" s="26" t="str">
        <f>IFERROR(__xludf.DUMMYFUNCTION("""COMPUTED_VALUE"""),"Corporate")</f>
        <v>Corporate</v>
      </c>
      <c r="D1634" s="26" t="str">
        <f>IFERROR(__xludf.DUMMYFUNCTION("""COMPUTED_VALUE"""),"Illinois")</f>
        <v>Illinois</v>
      </c>
      <c r="E1634" s="26" t="str">
        <f>IFERROR(__xludf.DUMMYFUNCTION("""COMPUTED_VALUE"""),"Central")</f>
        <v>Central</v>
      </c>
      <c r="F1634" s="26">
        <f>IFERROR(__xludf.DUMMYFUNCTION("""COMPUTED_VALUE"""),14.48)</f>
        <v>14.48</v>
      </c>
      <c r="G1634" s="26">
        <f>IFERROR(__xludf.DUMMYFUNCTION("""COMPUTED_VALUE"""),5.0)</f>
        <v>5</v>
      </c>
      <c r="H1634" s="26">
        <f>IFERROR(__xludf.DUMMYFUNCTION("""COMPUTED_VALUE"""),-23.892)</f>
        <v>-23.892</v>
      </c>
    </row>
    <row r="1635">
      <c r="A1635" s="26" t="str">
        <f>IFERROR(__xludf.DUMMYFUNCTION("""COMPUTED_VALUE"""),"US-2014-107699")</f>
        <v>US-2014-107699</v>
      </c>
      <c r="B1635" s="27">
        <f>IFERROR(__xludf.DUMMYFUNCTION("""COMPUTED_VALUE"""),41778.0)</f>
        <v>41778</v>
      </c>
      <c r="C1635" s="26" t="str">
        <f>IFERROR(__xludf.DUMMYFUNCTION("""COMPUTED_VALUE"""),"Consumer")</f>
        <v>Consumer</v>
      </c>
      <c r="D1635" s="26" t="str">
        <f>IFERROR(__xludf.DUMMYFUNCTION("""COMPUTED_VALUE"""),"Michigan")</f>
        <v>Michigan</v>
      </c>
      <c r="E1635" s="26" t="str">
        <f>IFERROR(__xludf.DUMMYFUNCTION("""COMPUTED_VALUE"""),"Central")</f>
        <v>Central</v>
      </c>
      <c r="F1635" s="26">
        <f>IFERROR(__xludf.DUMMYFUNCTION("""COMPUTED_VALUE"""),57.42)</f>
        <v>57.42</v>
      </c>
      <c r="G1635" s="26">
        <f>IFERROR(__xludf.DUMMYFUNCTION("""COMPUTED_VALUE"""),9.0)</f>
        <v>9</v>
      </c>
      <c r="H1635" s="26">
        <f>IFERROR(__xludf.DUMMYFUNCTION("""COMPUTED_VALUE"""),26.4132)</f>
        <v>26.4132</v>
      </c>
    </row>
    <row r="1636">
      <c r="A1636" s="26" t="str">
        <f>IFERROR(__xludf.DUMMYFUNCTION("""COMPUTED_VALUE"""),"CA-2014-126907")</f>
        <v>CA-2014-126907</v>
      </c>
      <c r="B1636" s="27">
        <f>IFERROR(__xludf.DUMMYFUNCTION("""COMPUTED_VALUE"""),41944.0)</f>
        <v>41944</v>
      </c>
      <c r="C1636" s="26" t="str">
        <f>IFERROR(__xludf.DUMMYFUNCTION("""COMPUTED_VALUE"""),"Corporate")</f>
        <v>Corporate</v>
      </c>
      <c r="D1636" s="26" t="str">
        <f>IFERROR(__xludf.DUMMYFUNCTION("""COMPUTED_VALUE"""),"Illinois")</f>
        <v>Illinois</v>
      </c>
      <c r="E1636" s="26" t="str">
        <f>IFERROR(__xludf.DUMMYFUNCTION("""COMPUTED_VALUE"""),"Central")</f>
        <v>Central</v>
      </c>
      <c r="F1636" s="26">
        <f>IFERROR(__xludf.DUMMYFUNCTION("""COMPUTED_VALUE"""),15.696)</f>
        <v>15.696</v>
      </c>
      <c r="G1636" s="26">
        <f>IFERROR(__xludf.DUMMYFUNCTION("""COMPUTED_VALUE"""),3.0)</f>
        <v>3</v>
      </c>
      <c r="H1636" s="26">
        <f>IFERROR(__xludf.DUMMYFUNCTION("""COMPUTED_VALUE"""),5.1012)</f>
        <v>5.1012</v>
      </c>
    </row>
    <row r="1637">
      <c r="A1637" s="26" t="str">
        <f>IFERROR(__xludf.DUMMYFUNCTION("""COMPUTED_VALUE"""),"US-2014-102631")</f>
        <v>US-2014-102631</v>
      </c>
      <c r="B1637" s="29">
        <f>IFERROR(__xludf.DUMMYFUNCTION("""COMPUTED_VALUE"""),41986.0)</f>
        <v>41986</v>
      </c>
      <c r="C1637" s="26" t="str">
        <f>IFERROR(__xludf.DUMMYFUNCTION("""COMPUTED_VALUE"""),"Corporate")</f>
        <v>Corporate</v>
      </c>
      <c r="D1637" s="26" t="str">
        <f>IFERROR(__xludf.DUMMYFUNCTION("""COMPUTED_VALUE"""),"Illinois")</f>
        <v>Illinois</v>
      </c>
      <c r="E1637" s="26" t="str">
        <f>IFERROR(__xludf.DUMMYFUNCTION("""COMPUTED_VALUE"""),"Central")</f>
        <v>Central</v>
      </c>
      <c r="F1637" s="26">
        <f>IFERROR(__xludf.DUMMYFUNCTION("""COMPUTED_VALUE"""),94.428)</f>
        <v>94.428</v>
      </c>
      <c r="G1637" s="26">
        <f>IFERROR(__xludf.DUMMYFUNCTION("""COMPUTED_VALUE"""),3.0)</f>
        <v>3</v>
      </c>
      <c r="H1637" s="26">
        <f>IFERROR(__xludf.DUMMYFUNCTION("""COMPUTED_VALUE"""),-42.4926)</f>
        <v>-42.4926</v>
      </c>
    </row>
    <row r="1638">
      <c r="A1638" s="26" t="str">
        <f>IFERROR(__xludf.DUMMYFUNCTION("""COMPUTED_VALUE"""),"CA-2014-103100")</f>
        <v>CA-2014-103100</v>
      </c>
      <c r="B1638" s="29">
        <f>IFERROR(__xludf.DUMMYFUNCTION("""COMPUTED_VALUE"""),41993.0)</f>
        <v>41993</v>
      </c>
      <c r="C1638" s="26" t="str">
        <f>IFERROR(__xludf.DUMMYFUNCTION("""COMPUTED_VALUE"""),"Consumer")</f>
        <v>Consumer</v>
      </c>
      <c r="D1638" s="26" t="str">
        <f>IFERROR(__xludf.DUMMYFUNCTION("""COMPUTED_VALUE"""),"Indiana")</f>
        <v>Indiana</v>
      </c>
      <c r="E1638" s="26" t="str">
        <f>IFERROR(__xludf.DUMMYFUNCTION("""COMPUTED_VALUE"""),"Central")</f>
        <v>Central</v>
      </c>
      <c r="F1638" s="26">
        <f>IFERROR(__xludf.DUMMYFUNCTION("""COMPUTED_VALUE"""),3.69)</f>
        <v>3.69</v>
      </c>
      <c r="G1638" s="26">
        <f>IFERROR(__xludf.DUMMYFUNCTION("""COMPUTED_VALUE"""),1.0)</f>
        <v>1</v>
      </c>
      <c r="H1638" s="26">
        <f>IFERROR(__xludf.DUMMYFUNCTION("""COMPUTED_VALUE"""),1.7343)</f>
        <v>1.7343</v>
      </c>
    </row>
    <row r="1639">
      <c r="A1639" s="26" t="str">
        <f>IFERROR(__xludf.DUMMYFUNCTION("""COMPUTED_VALUE"""),"US-2014-129609")</f>
        <v>US-2014-129609</v>
      </c>
      <c r="B1639" s="27">
        <f>IFERROR(__xludf.DUMMYFUNCTION("""COMPUTED_VALUE"""),41720.0)</f>
        <v>41720</v>
      </c>
      <c r="C1639" s="26" t="str">
        <f>IFERROR(__xludf.DUMMYFUNCTION("""COMPUTED_VALUE"""),"Consumer")</f>
        <v>Consumer</v>
      </c>
      <c r="D1639" s="26" t="str">
        <f>IFERROR(__xludf.DUMMYFUNCTION("""COMPUTED_VALUE"""),"Indiana")</f>
        <v>Indiana</v>
      </c>
      <c r="E1639" s="26" t="str">
        <f>IFERROR(__xludf.DUMMYFUNCTION("""COMPUTED_VALUE"""),"Central")</f>
        <v>Central</v>
      </c>
      <c r="F1639" s="26">
        <f>IFERROR(__xludf.DUMMYFUNCTION("""COMPUTED_VALUE"""),16.28)</f>
        <v>16.28</v>
      </c>
      <c r="G1639" s="26">
        <f>IFERROR(__xludf.DUMMYFUNCTION("""COMPUTED_VALUE"""),2.0)</f>
        <v>2</v>
      </c>
      <c r="H1639" s="26">
        <f>IFERROR(__xludf.DUMMYFUNCTION("""COMPUTED_VALUE"""),6.512)</f>
        <v>6.512</v>
      </c>
    </row>
    <row r="1640">
      <c r="A1640" s="26" t="str">
        <f>IFERROR(__xludf.DUMMYFUNCTION("""COMPUTED_VALUE"""),"US-2014-147704")</f>
        <v>US-2014-147704</v>
      </c>
      <c r="B1640" s="29">
        <f>IFERROR(__xludf.DUMMYFUNCTION("""COMPUTED_VALUE"""),41959.0)</f>
        <v>41959</v>
      </c>
      <c r="C1640" s="26" t="str">
        <f>IFERROR(__xludf.DUMMYFUNCTION("""COMPUTED_VALUE"""),"Home Office")</f>
        <v>Home Office</v>
      </c>
      <c r="D1640" s="26" t="str">
        <f>IFERROR(__xludf.DUMMYFUNCTION("""COMPUTED_VALUE"""),"Indiana")</f>
        <v>Indiana</v>
      </c>
      <c r="E1640" s="26" t="str">
        <f>IFERROR(__xludf.DUMMYFUNCTION("""COMPUTED_VALUE"""),"Central")</f>
        <v>Central</v>
      </c>
      <c r="F1640" s="26">
        <f>IFERROR(__xludf.DUMMYFUNCTION("""COMPUTED_VALUE"""),78.35)</f>
        <v>78.35</v>
      </c>
      <c r="G1640" s="26">
        <f>IFERROR(__xludf.DUMMYFUNCTION("""COMPUTED_VALUE"""),5.0)</f>
        <v>5</v>
      </c>
      <c r="H1640" s="26">
        <f>IFERROR(__xludf.DUMMYFUNCTION("""COMPUTED_VALUE"""),36.8245)</f>
        <v>36.8245</v>
      </c>
    </row>
    <row r="1641">
      <c r="A1641" s="26" t="str">
        <f>IFERROR(__xludf.DUMMYFUNCTION("""COMPUTED_VALUE"""),"CA-2014-116757")</f>
        <v>CA-2014-116757</v>
      </c>
      <c r="B1641" s="27">
        <f>IFERROR(__xludf.DUMMYFUNCTION("""COMPUTED_VALUE"""),41820.0)</f>
        <v>41820</v>
      </c>
      <c r="C1641" s="26" t="str">
        <f>IFERROR(__xludf.DUMMYFUNCTION("""COMPUTED_VALUE"""),"Corporate")</f>
        <v>Corporate</v>
      </c>
      <c r="D1641" s="26" t="str">
        <f>IFERROR(__xludf.DUMMYFUNCTION("""COMPUTED_VALUE"""),"Texas")</f>
        <v>Texas</v>
      </c>
      <c r="E1641" s="26" t="str">
        <f>IFERROR(__xludf.DUMMYFUNCTION("""COMPUTED_VALUE"""),"Central")</f>
        <v>Central</v>
      </c>
      <c r="F1641" s="26">
        <f>IFERROR(__xludf.DUMMYFUNCTION("""COMPUTED_VALUE"""),25.92)</f>
        <v>25.92</v>
      </c>
      <c r="G1641" s="26">
        <f>IFERROR(__xludf.DUMMYFUNCTION("""COMPUTED_VALUE"""),5.0)</f>
        <v>5</v>
      </c>
      <c r="H1641" s="26">
        <f>IFERROR(__xludf.DUMMYFUNCTION("""COMPUTED_VALUE"""),9.072)</f>
        <v>9.072</v>
      </c>
    </row>
    <row r="1642">
      <c r="A1642" s="26" t="str">
        <f>IFERROR(__xludf.DUMMYFUNCTION("""COMPUTED_VALUE"""),"CA-2014-109491")</f>
        <v>CA-2014-109491</v>
      </c>
      <c r="B1642" s="27">
        <f>IFERROR(__xludf.DUMMYFUNCTION("""COMPUTED_VALUE"""),41690.0)</f>
        <v>41690</v>
      </c>
      <c r="C1642" s="26" t="str">
        <f>IFERROR(__xludf.DUMMYFUNCTION("""COMPUTED_VALUE"""),"Corporate")</f>
        <v>Corporate</v>
      </c>
      <c r="D1642" s="26" t="str">
        <f>IFERROR(__xludf.DUMMYFUNCTION("""COMPUTED_VALUE"""),"Indiana")</f>
        <v>Indiana</v>
      </c>
      <c r="E1642" s="26" t="str">
        <f>IFERROR(__xludf.DUMMYFUNCTION("""COMPUTED_VALUE"""),"Central")</f>
        <v>Central</v>
      </c>
      <c r="F1642" s="26">
        <f>IFERROR(__xludf.DUMMYFUNCTION("""COMPUTED_VALUE"""),62.31)</f>
        <v>62.31</v>
      </c>
      <c r="G1642" s="26">
        <f>IFERROR(__xludf.DUMMYFUNCTION("""COMPUTED_VALUE"""),3.0)</f>
        <v>3</v>
      </c>
      <c r="H1642" s="26">
        <f>IFERROR(__xludf.DUMMYFUNCTION("""COMPUTED_VALUE"""),22.4316)</f>
        <v>22.4316</v>
      </c>
    </row>
    <row r="1643">
      <c r="A1643" s="26" t="str">
        <f>IFERROR(__xludf.DUMMYFUNCTION("""COMPUTED_VALUE"""),"CA-2014-127383")</f>
        <v>CA-2014-127383</v>
      </c>
      <c r="B1643" s="29">
        <f>IFERROR(__xludf.DUMMYFUNCTION("""COMPUTED_VALUE"""),42004.0)</f>
        <v>42004</v>
      </c>
      <c r="C1643" s="26" t="str">
        <f>IFERROR(__xludf.DUMMYFUNCTION("""COMPUTED_VALUE"""),"Corporate")</f>
        <v>Corporate</v>
      </c>
      <c r="D1643" s="26" t="str">
        <f>IFERROR(__xludf.DUMMYFUNCTION("""COMPUTED_VALUE"""),"Texas")</f>
        <v>Texas</v>
      </c>
      <c r="E1643" s="26" t="str">
        <f>IFERROR(__xludf.DUMMYFUNCTION("""COMPUTED_VALUE"""),"Central")</f>
        <v>Central</v>
      </c>
      <c r="F1643" s="26">
        <f>IFERROR(__xludf.DUMMYFUNCTION("""COMPUTED_VALUE"""),49.568)</f>
        <v>49.568</v>
      </c>
      <c r="G1643" s="26">
        <f>IFERROR(__xludf.DUMMYFUNCTION("""COMPUTED_VALUE"""),2.0)</f>
        <v>2</v>
      </c>
      <c r="H1643" s="26">
        <f>IFERROR(__xludf.DUMMYFUNCTION("""COMPUTED_VALUE"""),17.9684)</f>
        <v>17.9684</v>
      </c>
    </row>
    <row r="1644">
      <c r="A1644" s="26" t="str">
        <f>IFERROR(__xludf.DUMMYFUNCTION("""COMPUTED_VALUE"""),"CA-2014-110219")</f>
        <v>CA-2014-110219</v>
      </c>
      <c r="B1644" s="27">
        <f>IFERROR(__xludf.DUMMYFUNCTION("""COMPUTED_VALUE"""),41764.0)</f>
        <v>41764</v>
      </c>
      <c r="C1644" s="26" t="str">
        <f>IFERROR(__xludf.DUMMYFUNCTION("""COMPUTED_VALUE"""),"Consumer")</f>
        <v>Consumer</v>
      </c>
      <c r="D1644" s="26" t="str">
        <f>IFERROR(__xludf.DUMMYFUNCTION("""COMPUTED_VALUE"""),"Texas")</f>
        <v>Texas</v>
      </c>
      <c r="E1644" s="26" t="str">
        <f>IFERROR(__xludf.DUMMYFUNCTION("""COMPUTED_VALUE"""),"Central")</f>
        <v>Central</v>
      </c>
      <c r="F1644" s="26">
        <f>IFERROR(__xludf.DUMMYFUNCTION("""COMPUTED_VALUE"""),127.869)</f>
        <v>127.869</v>
      </c>
      <c r="G1644" s="26">
        <f>IFERROR(__xludf.DUMMYFUNCTION("""COMPUTED_VALUE"""),3.0)</f>
        <v>3</v>
      </c>
      <c r="H1644" s="26">
        <f>IFERROR(__xludf.DUMMYFUNCTION("""COMPUTED_VALUE"""),-9.1335)</f>
        <v>-9.1335</v>
      </c>
    </row>
    <row r="1645">
      <c r="A1645" s="26" t="str">
        <f>IFERROR(__xludf.DUMMYFUNCTION("""COMPUTED_VALUE"""),"CA-2014-160738")</f>
        <v>CA-2014-160738</v>
      </c>
      <c r="B1645" s="27">
        <f>IFERROR(__xludf.DUMMYFUNCTION("""COMPUTED_VALUE"""),41764.0)</f>
        <v>41764</v>
      </c>
      <c r="C1645" s="26" t="str">
        <f>IFERROR(__xludf.DUMMYFUNCTION("""COMPUTED_VALUE"""),"Corporate")</f>
        <v>Corporate</v>
      </c>
      <c r="D1645" s="26" t="str">
        <f>IFERROR(__xludf.DUMMYFUNCTION("""COMPUTED_VALUE"""),"Illinois")</f>
        <v>Illinois</v>
      </c>
      <c r="E1645" s="26" t="str">
        <f>IFERROR(__xludf.DUMMYFUNCTION("""COMPUTED_VALUE"""),"Central")</f>
        <v>Central</v>
      </c>
      <c r="F1645" s="26">
        <f>IFERROR(__xludf.DUMMYFUNCTION("""COMPUTED_VALUE"""),45.248)</f>
        <v>45.248</v>
      </c>
      <c r="G1645" s="26">
        <f>IFERROR(__xludf.DUMMYFUNCTION("""COMPUTED_VALUE"""),2.0)</f>
        <v>2</v>
      </c>
      <c r="H1645" s="26">
        <f>IFERROR(__xludf.DUMMYFUNCTION("""COMPUTED_VALUE"""),3.9592)</f>
        <v>3.9592</v>
      </c>
    </row>
    <row r="1646">
      <c r="A1646" s="26" t="str">
        <f>IFERROR(__xludf.DUMMYFUNCTION("""COMPUTED_VALUE"""),"CA-2014-108273")</f>
        <v>CA-2014-108273</v>
      </c>
      <c r="B1646" s="29">
        <f>IFERROR(__xludf.DUMMYFUNCTION("""COMPUTED_VALUE"""),41989.0)</f>
        <v>41989</v>
      </c>
      <c r="C1646" s="26" t="str">
        <f>IFERROR(__xludf.DUMMYFUNCTION("""COMPUTED_VALUE"""),"Consumer")</f>
        <v>Consumer</v>
      </c>
      <c r="D1646" s="26" t="str">
        <f>IFERROR(__xludf.DUMMYFUNCTION("""COMPUTED_VALUE"""),"Texas")</f>
        <v>Texas</v>
      </c>
      <c r="E1646" s="26" t="str">
        <f>IFERROR(__xludf.DUMMYFUNCTION("""COMPUTED_VALUE"""),"Central")</f>
        <v>Central</v>
      </c>
      <c r="F1646" s="26">
        <f>IFERROR(__xludf.DUMMYFUNCTION("""COMPUTED_VALUE"""),36.288)</f>
        <v>36.288</v>
      </c>
      <c r="G1646" s="26">
        <f>IFERROR(__xludf.DUMMYFUNCTION("""COMPUTED_VALUE"""),7.0)</f>
        <v>7</v>
      </c>
      <c r="H1646" s="26">
        <f>IFERROR(__xludf.DUMMYFUNCTION("""COMPUTED_VALUE"""),12.7008)</f>
        <v>12.7008</v>
      </c>
    </row>
    <row r="1647">
      <c r="A1647" s="26" t="str">
        <f>IFERROR(__xludf.DUMMYFUNCTION("""COMPUTED_VALUE"""),"CA-2014-106229")</f>
        <v>CA-2014-106229</v>
      </c>
      <c r="B1647" s="27">
        <f>IFERROR(__xludf.DUMMYFUNCTION("""COMPUTED_VALUE"""),41797.0)</f>
        <v>41797</v>
      </c>
      <c r="C1647" s="26" t="str">
        <f>IFERROR(__xludf.DUMMYFUNCTION("""COMPUTED_VALUE"""),"Consumer")</f>
        <v>Consumer</v>
      </c>
      <c r="D1647" s="26" t="str">
        <f>IFERROR(__xludf.DUMMYFUNCTION("""COMPUTED_VALUE"""),"Illinois")</f>
        <v>Illinois</v>
      </c>
      <c r="E1647" s="26" t="str">
        <f>IFERROR(__xludf.DUMMYFUNCTION("""COMPUTED_VALUE"""),"Central")</f>
        <v>Central</v>
      </c>
      <c r="F1647" s="26">
        <f>IFERROR(__xludf.DUMMYFUNCTION("""COMPUTED_VALUE"""),268.935)</f>
        <v>268.935</v>
      </c>
      <c r="G1647" s="26">
        <f>IFERROR(__xludf.DUMMYFUNCTION("""COMPUTED_VALUE"""),3.0)</f>
        <v>3</v>
      </c>
      <c r="H1647" s="26">
        <f>IFERROR(__xludf.DUMMYFUNCTION("""COMPUTED_VALUE"""),-209.7693)</f>
        <v>-209.7693</v>
      </c>
    </row>
    <row r="1648">
      <c r="A1648" s="26" t="str">
        <f>IFERROR(__xludf.DUMMYFUNCTION("""COMPUTED_VALUE"""),"CA-2014-159310")</f>
        <v>CA-2014-159310</v>
      </c>
      <c r="B1648" s="27">
        <f>IFERROR(__xludf.DUMMYFUNCTION("""COMPUTED_VALUE"""),41950.0)</f>
        <v>41950</v>
      </c>
      <c r="C1648" s="26" t="str">
        <f>IFERROR(__xludf.DUMMYFUNCTION("""COMPUTED_VALUE"""),"Consumer")</f>
        <v>Consumer</v>
      </c>
      <c r="D1648" s="26" t="str">
        <f>IFERROR(__xludf.DUMMYFUNCTION("""COMPUTED_VALUE"""),"Texas")</f>
        <v>Texas</v>
      </c>
      <c r="E1648" s="26" t="str">
        <f>IFERROR(__xludf.DUMMYFUNCTION("""COMPUTED_VALUE"""),"Central")</f>
        <v>Central</v>
      </c>
      <c r="F1648" s="26">
        <f>IFERROR(__xludf.DUMMYFUNCTION("""COMPUTED_VALUE"""),683.144)</f>
        <v>683.144</v>
      </c>
      <c r="G1648" s="26">
        <f>IFERROR(__xludf.DUMMYFUNCTION("""COMPUTED_VALUE"""),4.0)</f>
        <v>4</v>
      </c>
      <c r="H1648" s="26">
        <f>IFERROR(__xludf.DUMMYFUNCTION("""COMPUTED_VALUE"""),0.0)</f>
        <v>0</v>
      </c>
    </row>
    <row r="1649">
      <c r="A1649" s="26" t="str">
        <f>IFERROR(__xludf.DUMMYFUNCTION("""COMPUTED_VALUE"""),"CA-2014-120278")</f>
        <v>CA-2014-120278</v>
      </c>
      <c r="B1649" s="27">
        <f>IFERROR(__xludf.DUMMYFUNCTION("""COMPUTED_VALUE"""),41950.0)</f>
        <v>41950</v>
      </c>
      <c r="C1649" s="26" t="str">
        <f>IFERROR(__xludf.DUMMYFUNCTION("""COMPUTED_VALUE"""),"Consumer")</f>
        <v>Consumer</v>
      </c>
      <c r="D1649" s="26" t="str">
        <f>IFERROR(__xludf.DUMMYFUNCTION("""COMPUTED_VALUE"""),"Wisconsin")</f>
        <v>Wisconsin</v>
      </c>
      <c r="E1649" s="26" t="str">
        <f>IFERROR(__xludf.DUMMYFUNCTION("""COMPUTED_VALUE"""),"Central")</f>
        <v>Central</v>
      </c>
      <c r="F1649" s="26">
        <f>IFERROR(__xludf.DUMMYFUNCTION("""COMPUTED_VALUE"""),245.88)</f>
        <v>245.88</v>
      </c>
      <c r="G1649" s="26">
        <f>IFERROR(__xludf.DUMMYFUNCTION("""COMPUTED_VALUE"""),6.0)</f>
        <v>6</v>
      </c>
      <c r="H1649" s="26">
        <f>IFERROR(__xludf.DUMMYFUNCTION("""COMPUTED_VALUE"""),68.8464)</f>
        <v>68.8464</v>
      </c>
    </row>
    <row r="1650">
      <c r="A1650" s="26" t="str">
        <f>IFERROR(__xludf.DUMMYFUNCTION("""COMPUTED_VALUE"""),"CA-2014-138940")</f>
        <v>CA-2014-138940</v>
      </c>
      <c r="B1650" s="27">
        <f>IFERROR(__xludf.DUMMYFUNCTION("""COMPUTED_VALUE"""),41740.0)</f>
        <v>41740</v>
      </c>
      <c r="C1650" s="26" t="str">
        <f>IFERROR(__xludf.DUMMYFUNCTION("""COMPUTED_VALUE"""),"Home Office")</f>
        <v>Home Office</v>
      </c>
      <c r="D1650" s="26" t="str">
        <f>IFERROR(__xludf.DUMMYFUNCTION("""COMPUTED_VALUE"""),"Texas")</f>
        <v>Texas</v>
      </c>
      <c r="E1650" s="26" t="str">
        <f>IFERROR(__xludf.DUMMYFUNCTION("""COMPUTED_VALUE"""),"Central")</f>
        <v>Central</v>
      </c>
      <c r="F1650" s="26">
        <f>IFERROR(__xludf.DUMMYFUNCTION("""COMPUTED_VALUE"""),758.352)</f>
        <v>758.352</v>
      </c>
      <c r="G1650" s="26">
        <f>IFERROR(__xludf.DUMMYFUNCTION("""COMPUTED_VALUE"""),6.0)</f>
        <v>6</v>
      </c>
      <c r="H1650" s="26">
        <f>IFERROR(__xludf.DUMMYFUNCTION("""COMPUTED_VALUE"""),265.4232)</f>
        <v>265.4232</v>
      </c>
    </row>
    <row r="1651">
      <c r="A1651" s="26" t="str">
        <f>IFERROR(__xludf.DUMMYFUNCTION("""COMPUTED_VALUE"""),"CA-2014-151379")</f>
        <v>CA-2014-151379</v>
      </c>
      <c r="B1651" s="29">
        <f>IFERROR(__xludf.DUMMYFUNCTION("""COMPUTED_VALUE"""),41989.0)</f>
        <v>41989</v>
      </c>
      <c r="C1651" s="26" t="str">
        <f>IFERROR(__xludf.DUMMYFUNCTION("""COMPUTED_VALUE"""),"Corporate")</f>
        <v>Corporate</v>
      </c>
      <c r="D1651" s="26" t="str">
        <f>IFERROR(__xludf.DUMMYFUNCTION("""COMPUTED_VALUE"""),"Michigan")</f>
        <v>Michigan</v>
      </c>
      <c r="E1651" s="26" t="str">
        <f>IFERROR(__xludf.DUMMYFUNCTION("""COMPUTED_VALUE"""),"Central")</f>
        <v>Central</v>
      </c>
      <c r="F1651" s="26">
        <f>IFERROR(__xludf.DUMMYFUNCTION("""COMPUTED_VALUE"""),114.2)</f>
        <v>114.2</v>
      </c>
      <c r="G1651" s="26">
        <f>IFERROR(__xludf.DUMMYFUNCTION("""COMPUTED_VALUE"""),5.0)</f>
        <v>5</v>
      </c>
      <c r="H1651" s="26">
        <f>IFERROR(__xludf.DUMMYFUNCTION("""COMPUTED_VALUE"""),52.532)</f>
        <v>52.532</v>
      </c>
    </row>
    <row r="1652">
      <c r="A1652" s="26" t="str">
        <f>IFERROR(__xludf.DUMMYFUNCTION("""COMPUTED_VALUE"""),"US-2014-161613")</f>
        <v>US-2014-161613</v>
      </c>
      <c r="B1652" s="27">
        <f>IFERROR(__xludf.DUMMYFUNCTION("""COMPUTED_VALUE"""),41974.0)</f>
        <v>41974</v>
      </c>
      <c r="C1652" s="26" t="str">
        <f>IFERROR(__xludf.DUMMYFUNCTION("""COMPUTED_VALUE"""),"Corporate")</f>
        <v>Corporate</v>
      </c>
      <c r="D1652" s="26" t="str">
        <f>IFERROR(__xludf.DUMMYFUNCTION("""COMPUTED_VALUE"""),"Texas")</f>
        <v>Texas</v>
      </c>
      <c r="E1652" s="26" t="str">
        <f>IFERROR(__xludf.DUMMYFUNCTION("""COMPUTED_VALUE"""),"Central")</f>
        <v>Central</v>
      </c>
      <c r="F1652" s="26">
        <f>IFERROR(__xludf.DUMMYFUNCTION("""COMPUTED_VALUE"""),674.058)</f>
        <v>674.058</v>
      </c>
      <c r="G1652" s="26">
        <f>IFERROR(__xludf.DUMMYFUNCTION("""COMPUTED_VALUE"""),3.0)</f>
        <v>3</v>
      </c>
      <c r="H1652" s="26">
        <f>IFERROR(__xludf.DUMMYFUNCTION("""COMPUTED_VALUE"""),-19.2588)</f>
        <v>-19.2588</v>
      </c>
    </row>
    <row r="1653">
      <c r="A1653" s="26" t="str">
        <f>IFERROR(__xludf.DUMMYFUNCTION("""COMPUTED_VALUE"""),"CA-2014-151792")</f>
        <v>CA-2014-151792</v>
      </c>
      <c r="B1653" s="27">
        <f>IFERROR(__xludf.DUMMYFUNCTION("""COMPUTED_VALUE"""),41884.0)</f>
        <v>41884</v>
      </c>
      <c r="C1653" s="26" t="str">
        <f>IFERROR(__xludf.DUMMYFUNCTION("""COMPUTED_VALUE"""),"Consumer")</f>
        <v>Consumer</v>
      </c>
      <c r="D1653" s="26" t="str">
        <f>IFERROR(__xludf.DUMMYFUNCTION("""COMPUTED_VALUE"""),"Illinois")</f>
        <v>Illinois</v>
      </c>
      <c r="E1653" s="26" t="str">
        <f>IFERROR(__xludf.DUMMYFUNCTION("""COMPUTED_VALUE"""),"Central")</f>
        <v>Central</v>
      </c>
      <c r="F1653" s="26">
        <f>IFERROR(__xludf.DUMMYFUNCTION("""COMPUTED_VALUE"""),239.976)</f>
        <v>239.976</v>
      </c>
      <c r="G1653" s="26">
        <f>IFERROR(__xludf.DUMMYFUNCTION("""COMPUTED_VALUE"""),3.0)</f>
        <v>3</v>
      </c>
      <c r="H1653" s="26">
        <f>IFERROR(__xludf.DUMMYFUNCTION("""COMPUTED_VALUE"""),53.9946)</f>
        <v>53.9946</v>
      </c>
    </row>
    <row r="1654">
      <c r="A1654" s="26" t="str">
        <f>IFERROR(__xludf.DUMMYFUNCTION("""COMPUTED_VALUE"""),"US-2014-104759")</f>
        <v>US-2014-104759</v>
      </c>
      <c r="B1654" s="27">
        <f>IFERROR(__xludf.DUMMYFUNCTION("""COMPUTED_VALUE"""),41729.0)</f>
        <v>41729</v>
      </c>
      <c r="C1654" s="26" t="str">
        <f>IFERROR(__xludf.DUMMYFUNCTION("""COMPUTED_VALUE"""),"Consumer")</f>
        <v>Consumer</v>
      </c>
      <c r="D1654" s="26" t="str">
        <f>IFERROR(__xludf.DUMMYFUNCTION("""COMPUTED_VALUE"""),"Illinois")</f>
        <v>Illinois</v>
      </c>
      <c r="E1654" s="26" t="str">
        <f>IFERROR(__xludf.DUMMYFUNCTION("""COMPUTED_VALUE"""),"Central")</f>
        <v>Central</v>
      </c>
      <c r="F1654" s="26">
        <f>IFERROR(__xludf.DUMMYFUNCTION("""COMPUTED_VALUE"""),8.134)</f>
        <v>8.134</v>
      </c>
      <c r="G1654" s="26">
        <f>IFERROR(__xludf.DUMMYFUNCTION("""COMPUTED_VALUE"""),7.0)</f>
        <v>7</v>
      </c>
      <c r="H1654" s="26">
        <f>IFERROR(__xludf.DUMMYFUNCTION("""COMPUTED_VALUE"""),-13.8278)</f>
        <v>-13.8278</v>
      </c>
    </row>
    <row r="1655">
      <c r="A1655" s="26" t="str">
        <f>IFERROR(__xludf.DUMMYFUNCTION("""COMPUTED_VALUE"""),"CA-2014-124478")</f>
        <v>CA-2014-124478</v>
      </c>
      <c r="B1655" s="27">
        <f>IFERROR(__xludf.DUMMYFUNCTION("""COMPUTED_VALUE"""),41859.0)</f>
        <v>41859</v>
      </c>
      <c r="C1655" s="26" t="str">
        <f>IFERROR(__xludf.DUMMYFUNCTION("""COMPUTED_VALUE"""),"Home Office")</f>
        <v>Home Office</v>
      </c>
      <c r="D1655" s="26" t="str">
        <f>IFERROR(__xludf.DUMMYFUNCTION("""COMPUTED_VALUE"""),"Michigan")</f>
        <v>Michigan</v>
      </c>
      <c r="E1655" s="26" t="str">
        <f>IFERROR(__xludf.DUMMYFUNCTION("""COMPUTED_VALUE"""),"Central")</f>
        <v>Central</v>
      </c>
      <c r="F1655" s="26">
        <f>IFERROR(__xludf.DUMMYFUNCTION("""COMPUTED_VALUE"""),549.99)</f>
        <v>549.99</v>
      </c>
      <c r="G1655" s="26">
        <f>IFERROR(__xludf.DUMMYFUNCTION("""COMPUTED_VALUE"""),1.0)</f>
        <v>1</v>
      </c>
      <c r="H1655" s="26">
        <f>IFERROR(__xludf.DUMMYFUNCTION("""COMPUTED_VALUE"""),274.995)</f>
        <v>274.995</v>
      </c>
    </row>
    <row r="1656">
      <c r="A1656" s="26" t="str">
        <f>IFERROR(__xludf.DUMMYFUNCTION("""COMPUTED_VALUE"""),"CA-2014-134572")</f>
        <v>CA-2014-134572</v>
      </c>
      <c r="B1656" s="27">
        <f>IFERROR(__xludf.DUMMYFUNCTION("""COMPUTED_VALUE"""),41749.0)</f>
        <v>41749</v>
      </c>
      <c r="C1656" s="26" t="str">
        <f>IFERROR(__xludf.DUMMYFUNCTION("""COMPUTED_VALUE"""),"Consumer")</f>
        <v>Consumer</v>
      </c>
      <c r="D1656" s="26" t="str">
        <f>IFERROR(__xludf.DUMMYFUNCTION("""COMPUTED_VALUE"""),"Texas")</f>
        <v>Texas</v>
      </c>
      <c r="E1656" s="26" t="str">
        <f>IFERROR(__xludf.DUMMYFUNCTION("""COMPUTED_VALUE"""),"Central")</f>
        <v>Central</v>
      </c>
      <c r="F1656" s="26">
        <f>IFERROR(__xludf.DUMMYFUNCTION("""COMPUTED_VALUE"""),744.1)</f>
        <v>744.1</v>
      </c>
      <c r="G1656" s="26">
        <f>IFERROR(__xludf.DUMMYFUNCTION("""COMPUTED_VALUE"""),5.0)</f>
        <v>5</v>
      </c>
      <c r="H1656" s="26">
        <f>IFERROR(__xludf.DUMMYFUNCTION("""COMPUTED_VALUE"""),-95.67)</f>
        <v>-95.67</v>
      </c>
    </row>
    <row r="1657">
      <c r="A1657" s="26" t="str">
        <f>IFERROR(__xludf.DUMMYFUNCTION("""COMPUTED_VALUE"""),"US-2014-140452")</f>
        <v>US-2014-140452</v>
      </c>
      <c r="B1657" s="27">
        <f>IFERROR(__xludf.DUMMYFUNCTION("""COMPUTED_VALUE"""),41979.0)</f>
        <v>41979</v>
      </c>
      <c r="C1657" s="26" t="str">
        <f>IFERROR(__xludf.DUMMYFUNCTION("""COMPUTED_VALUE"""),"Consumer")</f>
        <v>Consumer</v>
      </c>
      <c r="D1657" s="26" t="str">
        <f>IFERROR(__xludf.DUMMYFUNCTION("""COMPUTED_VALUE"""),"Illinois")</f>
        <v>Illinois</v>
      </c>
      <c r="E1657" s="26" t="str">
        <f>IFERROR(__xludf.DUMMYFUNCTION("""COMPUTED_VALUE"""),"Central")</f>
        <v>Central</v>
      </c>
      <c r="F1657" s="26">
        <f>IFERROR(__xludf.DUMMYFUNCTION("""COMPUTED_VALUE"""),14.016)</f>
        <v>14.016</v>
      </c>
      <c r="G1657" s="26">
        <f>IFERROR(__xludf.DUMMYFUNCTION("""COMPUTED_VALUE"""),4.0)</f>
        <v>4</v>
      </c>
      <c r="H1657" s="26">
        <f>IFERROR(__xludf.DUMMYFUNCTION("""COMPUTED_VALUE"""),-31.536)</f>
        <v>-31.536</v>
      </c>
    </row>
    <row r="1658">
      <c r="A1658" s="26" t="str">
        <f>IFERROR(__xludf.DUMMYFUNCTION("""COMPUTED_VALUE"""),"CA-2014-158442")</f>
        <v>CA-2014-158442</v>
      </c>
      <c r="B1658" s="27">
        <f>IFERROR(__xludf.DUMMYFUNCTION("""COMPUTED_VALUE"""),41715.0)</f>
        <v>41715</v>
      </c>
      <c r="C1658" s="26" t="str">
        <f>IFERROR(__xludf.DUMMYFUNCTION("""COMPUTED_VALUE"""),"Consumer")</f>
        <v>Consumer</v>
      </c>
      <c r="D1658" s="26" t="str">
        <f>IFERROR(__xludf.DUMMYFUNCTION("""COMPUTED_VALUE"""),"Texas")</f>
        <v>Texas</v>
      </c>
      <c r="E1658" s="26" t="str">
        <f>IFERROR(__xludf.DUMMYFUNCTION("""COMPUTED_VALUE"""),"Central")</f>
        <v>Central</v>
      </c>
      <c r="F1658" s="26">
        <f>IFERROR(__xludf.DUMMYFUNCTION("""COMPUTED_VALUE"""),4.448)</f>
        <v>4.448</v>
      </c>
      <c r="G1658" s="26">
        <f>IFERROR(__xludf.DUMMYFUNCTION("""COMPUTED_VALUE"""),2.0)</f>
        <v>2</v>
      </c>
      <c r="H1658" s="26">
        <f>IFERROR(__xludf.DUMMYFUNCTION("""COMPUTED_VALUE"""),0.3336)</f>
        <v>0.3336</v>
      </c>
    </row>
    <row r="1659">
      <c r="A1659" s="26" t="str">
        <f>IFERROR(__xludf.DUMMYFUNCTION("""COMPUTED_VALUE"""),"CA-2014-121006")</f>
        <v>CA-2014-121006</v>
      </c>
      <c r="B1659" s="29">
        <f>IFERROR(__xludf.DUMMYFUNCTION("""COMPUTED_VALUE"""),41953.0)</f>
        <v>41953</v>
      </c>
      <c r="C1659" s="26" t="str">
        <f>IFERROR(__xludf.DUMMYFUNCTION("""COMPUTED_VALUE"""),"Consumer")</f>
        <v>Consumer</v>
      </c>
      <c r="D1659" s="26" t="str">
        <f>IFERROR(__xludf.DUMMYFUNCTION("""COMPUTED_VALUE"""),"Michigan")</f>
        <v>Michigan</v>
      </c>
      <c r="E1659" s="26" t="str">
        <f>IFERROR(__xludf.DUMMYFUNCTION("""COMPUTED_VALUE"""),"Central")</f>
        <v>Central</v>
      </c>
      <c r="F1659" s="26">
        <f>IFERROR(__xludf.DUMMYFUNCTION("""COMPUTED_VALUE"""),3.9)</f>
        <v>3.9</v>
      </c>
      <c r="G1659" s="26">
        <f>IFERROR(__xludf.DUMMYFUNCTION("""COMPUTED_VALUE"""),2.0)</f>
        <v>2</v>
      </c>
      <c r="H1659" s="26">
        <f>IFERROR(__xludf.DUMMYFUNCTION("""COMPUTED_VALUE"""),1.521)</f>
        <v>1.521</v>
      </c>
    </row>
    <row r="1660">
      <c r="A1660" s="26" t="str">
        <f>IFERROR(__xludf.DUMMYFUNCTION("""COMPUTED_VALUE"""),"CA-2014-140487")</f>
        <v>CA-2014-140487</v>
      </c>
      <c r="B1660" s="27">
        <f>IFERROR(__xludf.DUMMYFUNCTION("""COMPUTED_VALUE"""),41804.0)</f>
        <v>41804</v>
      </c>
      <c r="C1660" s="26" t="str">
        <f>IFERROR(__xludf.DUMMYFUNCTION("""COMPUTED_VALUE"""),"Home Office")</f>
        <v>Home Office</v>
      </c>
      <c r="D1660" s="26" t="str">
        <f>IFERROR(__xludf.DUMMYFUNCTION("""COMPUTED_VALUE"""),"Michigan")</f>
        <v>Michigan</v>
      </c>
      <c r="E1660" s="26" t="str">
        <f>IFERROR(__xludf.DUMMYFUNCTION("""COMPUTED_VALUE"""),"Central")</f>
        <v>Central</v>
      </c>
      <c r="F1660" s="26">
        <f>IFERROR(__xludf.DUMMYFUNCTION("""COMPUTED_VALUE"""),212.94)</f>
        <v>212.94</v>
      </c>
      <c r="G1660" s="26">
        <f>IFERROR(__xludf.DUMMYFUNCTION("""COMPUTED_VALUE"""),3.0)</f>
        <v>3</v>
      </c>
      <c r="H1660" s="26">
        <f>IFERROR(__xludf.DUMMYFUNCTION("""COMPUTED_VALUE"""),57.4938)</f>
        <v>57.4938</v>
      </c>
    </row>
    <row r="1661">
      <c r="A1661" s="26" t="str">
        <f>IFERROR(__xludf.DUMMYFUNCTION("""COMPUTED_VALUE"""),"CA-2014-105165")</f>
        <v>CA-2014-105165</v>
      </c>
      <c r="B1661" s="27">
        <f>IFERROR(__xludf.DUMMYFUNCTION("""COMPUTED_VALUE"""),41889.0)</f>
        <v>41889</v>
      </c>
      <c r="C1661" s="26" t="str">
        <f>IFERROR(__xludf.DUMMYFUNCTION("""COMPUTED_VALUE"""),"Home Office")</f>
        <v>Home Office</v>
      </c>
      <c r="D1661" s="26" t="str">
        <f>IFERROR(__xludf.DUMMYFUNCTION("""COMPUTED_VALUE"""),"Texas")</f>
        <v>Texas</v>
      </c>
      <c r="E1661" s="26" t="str">
        <f>IFERROR(__xludf.DUMMYFUNCTION("""COMPUTED_VALUE"""),"Central")</f>
        <v>Central</v>
      </c>
      <c r="F1661" s="26">
        <f>IFERROR(__xludf.DUMMYFUNCTION("""COMPUTED_VALUE"""),196.776)</f>
        <v>196.776</v>
      </c>
      <c r="G1661" s="26">
        <f>IFERROR(__xludf.DUMMYFUNCTION("""COMPUTED_VALUE"""),3.0)</f>
        <v>3</v>
      </c>
      <c r="H1661" s="26">
        <f>IFERROR(__xludf.DUMMYFUNCTION("""COMPUTED_VALUE"""),14.7582)</f>
        <v>14.7582</v>
      </c>
    </row>
    <row r="1662">
      <c r="A1662" s="26" t="str">
        <f>IFERROR(__xludf.DUMMYFUNCTION("""COMPUTED_VALUE"""),"CA-2014-113859")</f>
        <v>CA-2014-113859</v>
      </c>
      <c r="B1662" s="27">
        <f>IFERROR(__xludf.DUMMYFUNCTION("""COMPUTED_VALUE"""),41895.0)</f>
        <v>41895</v>
      </c>
      <c r="C1662" s="26" t="str">
        <f>IFERROR(__xludf.DUMMYFUNCTION("""COMPUTED_VALUE"""),"Home Office")</f>
        <v>Home Office</v>
      </c>
      <c r="D1662" s="26" t="str">
        <f>IFERROR(__xludf.DUMMYFUNCTION("""COMPUTED_VALUE"""),"Texas")</f>
        <v>Texas</v>
      </c>
      <c r="E1662" s="26" t="str">
        <f>IFERROR(__xludf.DUMMYFUNCTION("""COMPUTED_VALUE"""),"Central")</f>
        <v>Central</v>
      </c>
      <c r="F1662" s="26">
        <f>IFERROR(__xludf.DUMMYFUNCTION("""COMPUTED_VALUE"""),340.116)</f>
        <v>340.116</v>
      </c>
      <c r="G1662" s="26">
        <f>IFERROR(__xludf.DUMMYFUNCTION("""COMPUTED_VALUE"""),6.0)</f>
        <v>6</v>
      </c>
      <c r="H1662" s="26">
        <f>IFERROR(__xludf.DUMMYFUNCTION("""COMPUTED_VALUE"""),-9.7176)</f>
        <v>-9.7176</v>
      </c>
    </row>
    <row r="1663">
      <c r="A1663" s="26" t="str">
        <f>IFERROR(__xludf.DUMMYFUNCTION("""COMPUTED_VALUE"""),"CA-2014-146283")</f>
        <v>CA-2014-146283</v>
      </c>
      <c r="B1663" s="27">
        <f>IFERROR(__xludf.DUMMYFUNCTION("""COMPUTED_VALUE"""),41890.0)</f>
        <v>41890</v>
      </c>
      <c r="C1663" s="26" t="str">
        <f>IFERROR(__xludf.DUMMYFUNCTION("""COMPUTED_VALUE"""),"Consumer")</f>
        <v>Consumer</v>
      </c>
      <c r="D1663" s="26" t="str">
        <f>IFERROR(__xludf.DUMMYFUNCTION("""COMPUTED_VALUE"""),"Texas")</f>
        <v>Texas</v>
      </c>
      <c r="E1663" s="26" t="str">
        <f>IFERROR(__xludf.DUMMYFUNCTION("""COMPUTED_VALUE"""),"Central")</f>
        <v>Central</v>
      </c>
      <c r="F1663" s="26">
        <f>IFERROR(__xludf.DUMMYFUNCTION("""COMPUTED_VALUE"""),17.904)</f>
        <v>17.904</v>
      </c>
      <c r="G1663" s="26">
        <f>IFERROR(__xludf.DUMMYFUNCTION("""COMPUTED_VALUE"""),2.0)</f>
        <v>2</v>
      </c>
      <c r="H1663" s="26">
        <f>IFERROR(__xludf.DUMMYFUNCTION("""COMPUTED_VALUE"""),6.2664)</f>
        <v>6.2664</v>
      </c>
    </row>
    <row r="1664">
      <c r="A1664" s="26" t="str">
        <f>IFERROR(__xludf.DUMMYFUNCTION("""COMPUTED_VALUE"""),"US-2014-139500")</f>
        <v>US-2014-139500</v>
      </c>
      <c r="B1664" s="29">
        <f>IFERROR(__xludf.DUMMYFUNCTION("""COMPUTED_VALUE"""),41959.0)</f>
        <v>41959</v>
      </c>
      <c r="C1664" s="26" t="str">
        <f>IFERROR(__xludf.DUMMYFUNCTION("""COMPUTED_VALUE"""),"Consumer")</f>
        <v>Consumer</v>
      </c>
      <c r="D1664" s="26" t="str">
        <f>IFERROR(__xludf.DUMMYFUNCTION("""COMPUTED_VALUE"""),"Illinois")</f>
        <v>Illinois</v>
      </c>
      <c r="E1664" s="26" t="str">
        <f>IFERROR(__xludf.DUMMYFUNCTION("""COMPUTED_VALUE"""),"Central")</f>
        <v>Central</v>
      </c>
      <c r="F1664" s="26">
        <f>IFERROR(__xludf.DUMMYFUNCTION("""COMPUTED_VALUE"""),37.296)</f>
        <v>37.296</v>
      </c>
      <c r="G1664" s="26">
        <f>IFERROR(__xludf.DUMMYFUNCTION("""COMPUTED_VALUE"""),2.0)</f>
        <v>2</v>
      </c>
      <c r="H1664" s="26">
        <f>IFERROR(__xludf.DUMMYFUNCTION("""COMPUTED_VALUE"""),-1.0656)</f>
        <v>-1.0656</v>
      </c>
    </row>
    <row r="1665">
      <c r="A1665" s="26" t="str">
        <f>IFERROR(__xludf.DUMMYFUNCTION("""COMPUTED_VALUE"""),"US-2014-166310")</f>
        <v>US-2014-166310</v>
      </c>
      <c r="B1665" s="27">
        <f>IFERROR(__xludf.DUMMYFUNCTION("""COMPUTED_VALUE"""),41903.0)</f>
        <v>41903</v>
      </c>
      <c r="C1665" s="26" t="str">
        <f>IFERROR(__xludf.DUMMYFUNCTION("""COMPUTED_VALUE"""),"Home Office")</f>
        <v>Home Office</v>
      </c>
      <c r="D1665" s="26" t="str">
        <f>IFERROR(__xludf.DUMMYFUNCTION("""COMPUTED_VALUE"""),"Texas")</f>
        <v>Texas</v>
      </c>
      <c r="E1665" s="26" t="str">
        <f>IFERROR(__xludf.DUMMYFUNCTION("""COMPUTED_VALUE"""),"Central")</f>
        <v>Central</v>
      </c>
      <c r="F1665" s="26">
        <f>IFERROR(__xludf.DUMMYFUNCTION("""COMPUTED_VALUE"""),8.544)</f>
        <v>8.544</v>
      </c>
      <c r="G1665" s="26">
        <f>IFERROR(__xludf.DUMMYFUNCTION("""COMPUTED_VALUE"""),2.0)</f>
        <v>2</v>
      </c>
      <c r="H1665" s="26">
        <f>IFERROR(__xludf.DUMMYFUNCTION("""COMPUTED_VALUE"""),-7.476)</f>
        <v>-7.476</v>
      </c>
    </row>
    <row r="1666">
      <c r="A1666" s="26" t="str">
        <f>IFERROR(__xludf.DUMMYFUNCTION("""COMPUTED_VALUE"""),"US-2014-168501")</f>
        <v>US-2014-168501</v>
      </c>
      <c r="B1666" s="29">
        <f>IFERROR(__xludf.DUMMYFUNCTION("""COMPUTED_VALUE"""),41964.0)</f>
        <v>41964</v>
      </c>
      <c r="C1666" s="26" t="str">
        <f>IFERROR(__xludf.DUMMYFUNCTION("""COMPUTED_VALUE"""),"Corporate")</f>
        <v>Corporate</v>
      </c>
      <c r="D1666" s="26" t="str">
        <f>IFERROR(__xludf.DUMMYFUNCTION("""COMPUTED_VALUE"""),"Texas")</f>
        <v>Texas</v>
      </c>
      <c r="E1666" s="26" t="str">
        <f>IFERROR(__xludf.DUMMYFUNCTION("""COMPUTED_VALUE"""),"Central")</f>
        <v>Central</v>
      </c>
      <c r="F1666" s="26">
        <f>IFERROR(__xludf.DUMMYFUNCTION("""COMPUTED_VALUE"""),1.632)</f>
        <v>1.632</v>
      </c>
      <c r="G1666" s="26">
        <f>IFERROR(__xludf.DUMMYFUNCTION("""COMPUTED_VALUE"""),1.0)</f>
        <v>1</v>
      </c>
      <c r="H1666" s="26">
        <f>IFERROR(__xludf.DUMMYFUNCTION("""COMPUTED_VALUE"""),0.5508)</f>
        <v>0.5508</v>
      </c>
    </row>
    <row r="1667">
      <c r="A1667" s="26" t="str">
        <f>IFERROR(__xludf.DUMMYFUNCTION("""COMPUTED_VALUE"""),"CA-2014-132542")</f>
        <v>CA-2014-132542</v>
      </c>
      <c r="B1667" s="27">
        <f>IFERROR(__xludf.DUMMYFUNCTION("""COMPUTED_VALUE"""),41918.0)</f>
        <v>41918</v>
      </c>
      <c r="C1667" s="26" t="str">
        <f>IFERROR(__xludf.DUMMYFUNCTION("""COMPUTED_VALUE"""),"Corporate")</f>
        <v>Corporate</v>
      </c>
      <c r="D1667" s="26" t="str">
        <f>IFERROR(__xludf.DUMMYFUNCTION("""COMPUTED_VALUE"""),"Nebraska")</f>
        <v>Nebraska</v>
      </c>
      <c r="E1667" s="26" t="str">
        <f>IFERROR(__xludf.DUMMYFUNCTION("""COMPUTED_VALUE"""),"Central")</f>
        <v>Central</v>
      </c>
      <c r="F1667" s="26">
        <f>IFERROR(__xludf.DUMMYFUNCTION("""COMPUTED_VALUE"""),15.36)</f>
        <v>15.36</v>
      </c>
      <c r="G1667" s="26">
        <f>IFERROR(__xludf.DUMMYFUNCTION("""COMPUTED_VALUE"""),2.0)</f>
        <v>2</v>
      </c>
      <c r="H1667" s="26">
        <f>IFERROR(__xludf.DUMMYFUNCTION("""COMPUTED_VALUE"""),7.68)</f>
        <v>7.68</v>
      </c>
    </row>
    <row r="1668">
      <c r="A1668" s="26" t="str">
        <f>IFERROR(__xludf.DUMMYFUNCTION("""COMPUTED_VALUE"""),"US-2014-119081")</f>
        <v>US-2014-119081</v>
      </c>
      <c r="B1668" s="27">
        <f>IFERROR(__xludf.DUMMYFUNCTION("""COMPUTED_VALUE"""),41894.0)</f>
        <v>41894</v>
      </c>
      <c r="C1668" s="26" t="str">
        <f>IFERROR(__xludf.DUMMYFUNCTION("""COMPUTED_VALUE"""),"Home Office")</f>
        <v>Home Office</v>
      </c>
      <c r="D1668" s="26" t="str">
        <f>IFERROR(__xludf.DUMMYFUNCTION("""COMPUTED_VALUE"""),"Kansas")</f>
        <v>Kansas</v>
      </c>
      <c r="E1668" s="26" t="str">
        <f>IFERROR(__xludf.DUMMYFUNCTION("""COMPUTED_VALUE"""),"Central")</f>
        <v>Central</v>
      </c>
      <c r="F1668" s="26">
        <f>IFERROR(__xludf.DUMMYFUNCTION("""COMPUTED_VALUE"""),357.93)</f>
        <v>357.93</v>
      </c>
      <c r="G1668" s="26">
        <f>IFERROR(__xludf.DUMMYFUNCTION("""COMPUTED_VALUE"""),3.0)</f>
        <v>3</v>
      </c>
      <c r="H1668" s="26">
        <f>IFERROR(__xludf.DUMMYFUNCTION("""COMPUTED_VALUE"""),7.1586)</f>
        <v>7.1586</v>
      </c>
    </row>
    <row r="1669">
      <c r="A1669" s="26" t="str">
        <f>IFERROR(__xludf.DUMMYFUNCTION("""COMPUTED_VALUE"""),"CA-2014-107706")</f>
        <v>CA-2014-107706</v>
      </c>
      <c r="B1669" s="27">
        <f>IFERROR(__xludf.DUMMYFUNCTION("""COMPUTED_VALUE"""),41684.0)</f>
        <v>41684</v>
      </c>
      <c r="C1669" s="26" t="str">
        <f>IFERROR(__xludf.DUMMYFUNCTION("""COMPUTED_VALUE"""),"Consumer")</f>
        <v>Consumer</v>
      </c>
      <c r="D1669" s="26" t="str">
        <f>IFERROR(__xludf.DUMMYFUNCTION("""COMPUTED_VALUE"""),"Texas")</f>
        <v>Texas</v>
      </c>
      <c r="E1669" s="26" t="str">
        <f>IFERROR(__xludf.DUMMYFUNCTION("""COMPUTED_VALUE"""),"Central")</f>
        <v>Central</v>
      </c>
      <c r="F1669" s="26">
        <f>IFERROR(__xludf.DUMMYFUNCTION("""COMPUTED_VALUE"""),16.176)</f>
        <v>16.176</v>
      </c>
      <c r="G1669" s="26">
        <f>IFERROR(__xludf.DUMMYFUNCTION("""COMPUTED_VALUE"""),3.0)</f>
        <v>3</v>
      </c>
      <c r="H1669" s="26">
        <f>IFERROR(__xludf.DUMMYFUNCTION("""COMPUTED_VALUE"""),6.066)</f>
        <v>6.066</v>
      </c>
    </row>
    <row r="1670">
      <c r="A1670" s="26" t="str">
        <f>IFERROR(__xludf.DUMMYFUNCTION("""COMPUTED_VALUE"""),"US-2014-159618")</f>
        <v>US-2014-159618</v>
      </c>
      <c r="B1670" s="29">
        <f>IFERROR(__xludf.DUMMYFUNCTION("""COMPUTED_VALUE"""),41955.0)</f>
        <v>41955</v>
      </c>
      <c r="C1670" s="26" t="str">
        <f>IFERROR(__xludf.DUMMYFUNCTION("""COMPUTED_VALUE"""),"Corporate")</f>
        <v>Corporate</v>
      </c>
      <c r="D1670" s="26" t="str">
        <f>IFERROR(__xludf.DUMMYFUNCTION("""COMPUTED_VALUE"""),"Texas")</f>
        <v>Texas</v>
      </c>
      <c r="E1670" s="26" t="str">
        <f>IFERROR(__xludf.DUMMYFUNCTION("""COMPUTED_VALUE"""),"Central")</f>
        <v>Central</v>
      </c>
      <c r="F1670" s="26">
        <f>IFERROR(__xludf.DUMMYFUNCTION("""COMPUTED_VALUE"""),2.672)</f>
        <v>2.672</v>
      </c>
      <c r="G1670" s="26">
        <f>IFERROR(__xludf.DUMMYFUNCTION("""COMPUTED_VALUE"""),1.0)</f>
        <v>1</v>
      </c>
      <c r="H1670" s="26">
        <f>IFERROR(__xludf.DUMMYFUNCTION("""COMPUTED_VALUE"""),0.334)</f>
        <v>0.334</v>
      </c>
    </row>
    <row r="1671">
      <c r="A1671" s="26" t="str">
        <f>IFERROR(__xludf.DUMMYFUNCTION("""COMPUTED_VALUE"""),"CA-2014-126802")</f>
        <v>CA-2014-126802</v>
      </c>
      <c r="B1671" s="29">
        <f>IFERROR(__xludf.DUMMYFUNCTION("""COMPUTED_VALUE"""),42002.0)</f>
        <v>42002</v>
      </c>
      <c r="C1671" s="26" t="str">
        <f>IFERROR(__xludf.DUMMYFUNCTION("""COMPUTED_VALUE"""),"Consumer")</f>
        <v>Consumer</v>
      </c>
      <c r="D1671" s="26" t="str">
        <f>IFERROR(__xludf.DUMMYFUNCTION("""COMPUTED_VALUE"""),"Illinois")</f>
        <v>Illinois</v>
      </c>
      <c r="E1671" s="26" t="str">
        <f>IFERROR(__xludf.DUMMYFUNCTION("""COMPUTED_VALUE"""),"Central")</f>
        <v>Central</v>
      </c>
      <c r="F1671" s="26">
        <f>IFERROR(__xludf.DUMMYFUNCTION("""COMPUTED_VALUE"""),38.976)</f>
        <v>38.976</v>
      </c>
      <c r="G1671" s="26">
        <f>IFERROR(__xludf.DUMMYFUNCTION("""COMPUTED_VALUE"""),3.0)</f>
        <v>3</v>
      </c>
      <c r="H1671" s="26">
        <f>IFERROR(__xludf.DUMMYFUNCTION("""COMPUTED_VALUE"""),-50.6688)</f>
        <v>-50.6688</v>
      </c>
    </row>
    <row r="1672">
      <c r="A1672" s="26" t="str">
        <f>IFERROR(__xludf.DUMMYFUNCTION("""COMPUTED_VALUE"""),"CA-2014-103191")</f>
        <v>CA-2014-103191</v>
      </c>
      <c r="B1672" s="27">
        <f>IFERROR(__xludf.DUMMYFUNCTION("""COMPUTED_VALUE"""),41904.0)</f>
        <v>41904</v>
      </c>
      <c r="C1672" s="26" t="str">
        <f>IFERROR(__xludf.DUMMYFUNCTION("""COMPUTED_VALUE"""),"Corporate")</f>
        <v>Corporate</v>
      </c>
      <c r="D1672" s="26" t="str">
        <f>IFERROR(__xludf.DUMMYFUNCTION("""COMPUTED_VALUE"""),"Illinois")</f>
        <v>Illinois</v>
      </c>
      <c r="E1672" s="26" t="str">
        <f>IFERROR(__xludf.DUMMYFUNCTION("""COMPUTED_VALUE"""),"Central")</f>
        <v>Central</v>
      </c>
      <c r="F1672" s="26">
        <f>IFERROR(__xludf.DUMMYFUNCTION("""COMPUTED_VALUE"""),331.536)</f>
        <v>331.536</v>
      </c>
      <c r="G1672" s="26">
        <f>IFERROR(__xludf.DUMMYFUNCTION("""COMPUTED_VALUE"""),3.0)</f>
        <v>3</v>
      </c>
      <c r="H1672" s="26">
        <f>IFERROR(__xludf.DUMMYFUNCTION("""COMPUTED_VALUE"""),-82.884)</f>
        <v>-82.884</v>
      </c>
    </row>
    <row r="1673">
      <c r="A1673" s="26" t="str">
        <f>IFERROR(__xludf.DUMMYFUNCTION("""COMPUTED_VALUE"""),"CA-2014-145800")</f>
        <v>CA-2014-145800</v>
      </c>
      <c r="B1673" s="27">
        <f>IFERROR(__xludf.DUMMYFUNCTION("""COMPUTED_VALUE"""),41789.0)</f>
        <v>41789</v>
      </c>
      <c r="C1673" s="26" t="str">
        <f>IFERROR(__xludf.DUMMYFUNCTION("""COMPUTED_VALUE"""),"Consumer")</f>
        <v>Consumer</v>
      </c>
      <c r="D1673" s="26" t="str">
        <f>IFERROR(__xludf.DUMMYFUNCTION("""COMPUTED_VALUE"""),"Illinois")</f>
        <v>Illinois</v>
      </c>
      <c r="E1673" s="26" t="str">
        <f>IFERROR(__xludf.DUMMYFUNCTION("""COMPUTED_VALUE"""),"Central")</f>
        <v>Central</v>
      </c>
      <c r="F1673" s="26">
        <f>IFERROR(__xludf.DUMMYFUNCTION("""COMPUTED_VALUE"""),355.455)</f>
        <v>355.455</v>
      </c>
      <c r="G1673" s="26">
        <f>IFERROR(__xludf.DUMMYFUNCTION("""COMPUTED_VALUE"""),3.0)</f>
        <v>3</v>
      </c>
      <c r="H1673" s="26">
        <f>IFERROR(__xludf.DUMMYFUNCTION("""COMPUTED_VALUE"""),-184.8366)</f>
        <v>-184.8366</v>
      </c>
    </row>
    <row r="1674">
      <c r="A1674" s="26" t="str">
        <f>IFERROR(__xludf.DUMMYFUNCTION("""COMPUTED_VALUE"""),"CA-2014-163748")</f>
        <v>CA-2014-163748</v>
      </c>
      <c r="B1674" s="29">
        <f>IFERROR(__xludf.DUMMYFUNCTION("""COMPUTED_VALUE"""),41926.0)</f>
        <v>41926</v>
      </c>
      <c r="C1674" s="26" t="str">
        <f>IFERROR(__xludf.DUMMYFUNCTION("""COMPUTED_VALUE"""),"Consumer")</f>
        <v>Consumer</v>
      </c>
      <c r="D1674" s="26" t="str">
        <f>IFERROR(__xludf.DUMMYFUNCTION("""COMPUTED_VALUE"""),"Texas")</f>
        <v>Texas</v>
      </c>
      <c r="E1674" s="26" t="str">
        <f>IFERROR(__xludf.DUMMYFUNCTION("""COMPUTED_VALUE"""),"Central")</f>
        <v>Central</v>
      </c>
      <c r="F1674" s="26">
        <f>IFERROR(__xludf.DUMMYFUNCTION("""COMPUTED_VALUE"""),3.16)</f>
        <v>3.16</v>
      </c>
      <c r="G1674" s="26">
        <f>IFERROR(__xludf.DUMMYFUNCTION("""COMPUTED_VALUE"""),4.0)</f>
        <v>4</v>
      </c>
      <c r="H1674" s="26">
        <f>IFERROR(__xludf.DUMMYFUNCTION("""COMPUTED_VALUE"""),-8.532)</f>
        <v>-8.532</v>
      </c>
    </row>
    <row r="1675">
      <c r="A1675" s="26" t="str">
        <f>IFERROR(__xludf.DUMMYFUNCTION("""COMPUTED_VALUE"""),"CA-2014-166716")</f>
        <v>CA-2014-166716</v>
      </c>
      <c r="B1675" s="27">
        <f>IFERROR(__xludf.DUMMYFUNCTION("""COMPUTED_VALUE"""),41871.0)</f>
        <v>41871</v>
      </c>
      <c r="C1675" s="26" t="str">
        <f>IFERROR(__xludf.DUMMYFUNCTION("""COMPUTED_VALUE"""),"Consumer")</f>
        <v>Consumer</v>
      </c>
      <c r="D1675" s="26" t="str">
        <f>IFERROR(__xludf.DUMMYFUNCTION("""COMPUTED_VALUE"""),"Illinois")</f>
        <v>Illinois</v>
      </c>
      <c r="E1675" s="26" t="str">
        <f>IFERROR(__xludf.DUMMYFUNCTION("""COMPUTED_VALUE"""),"Central")</f>
        <v>Central</v>
      </c>
      <c r="F1675" s="26">
        <f>IFERROR(__xludf.DUMMYFUNCTION("""COMPUTED_VALUE"""),421.372)</f>
        <v>421.372</v>
      </c>
      <c r="G1675" s="26">
        <f>IFERROR(__xludf.DUMMYFUNCTION("""COMPUTED_VALUE"""),2.0)</f>
        <v>2</v>
      </c>
      <c r="H1675" s="26">
        <f>IFERROR(__xludf.DUMMYFUNCTION("""COMPUTED_VALUE"""),-6.0196)</f>
        <v>-6.0196</v>
      </c>
    </row>
    <row r="1676">
      <c r="A1676" s="26" t="str">
        <f>IFERROR(__xludf.DUMMYFUNCTION("""COMPUTED_VALUE"""),"CA-2014-123225")</f>
        <v>CA-2014-123225</v>
      </c>
      <c r="B1676" s="27">
        <f>IFERROR(__xludf.DUMMYFUNCTION("""COMPUTED_VALUE"""),41831.0)</f>
        <v>41831</v>
      </c>
      <c r="C1676" s="26" t="str">
        <f>IFERROR(__xludf.DUMMYFUNCTION("""COMPUTED_VALUE"""),"Consumer")</f>
        <v>Consumer</v>
      </c>
      <c r="D1676" s="26" t="str">
        <f>IFERROR(__xludf.DUMMYFUNCTION("""COMPUTED_VALUE"""),"Texas")</f>
        <v>Texas</v>
      </c>
      <c r="E1676" s="26" t="str">
        <f>IFERROR(__xludf.DUMMYFUNCTION("""COMPUTED_VALUE"""),"Central")</f>
        <v>Central</v>
      </c>
      <c r="F1676" s="26">
        <f>IFERROR(__xludf.DUMMYFUNCTION("""COMPUTED_VALUE"""),575.968)</f>
        <v>575.968</v>
      </c>
      <c r="G1676" s="26">
        <f>IFERROR(__xludf.DUMMYFUNCTION("""COMPUTED_VALUE"""),4.0)</f>
        <v>4</v>
      </c>
      <c r="H1676" s="26">
        <f>IFERROR(__xludf.DUMMYFUNCTION("""COMPUTED_VALUE"""),43.1976)</f>
        <v>43.1976</v>
      </c>
    </row>
    <row r="1677">
      <c r="A1677" s="26" t="str">
        <f>IFERROR(__xludf.DUMMYFUNCTION("""COMPUTED_VALUE"""),"CA-2014-117765")</f>
        <v>CA-2014-117765</v>
      </c>
      <c r="B1677" s="27">
        <f>IFERROR(__xludf.DUMMYFUNCTION("""COMPUTED_VALUE"""),41889.0)</f>
        <v>41889</v>
      </c>
      <c r="C1677" s="26" t="str">
        <f>IFERROR(__xludf.DUMMYFUNCTION("""COMPUTED_VALUE"""),"Home Office")</f>
        <v>Home Office</v>
      </c>
      <c r="D1677" s="26" t="str">
        <f>IFERROR(__xludf.DUMMYFUNCTION("""COMPUTED_VALUE"""),"Oklahoma")</f>
        <v>Oklahoma</v>
      </c>
      <c r="E1677" s="26" t="str">
        <f>IFERROR(__xludf.DUMMYFUNCTION("""COMPUTED_VALUE"""),"Central")</f>
        <v>Central</v>
      </c>
      <c r="F1677" s="26">
        <f>IFERROR(__xludf.DUMMYFUNCTION("""COMPUTED_VALUE"""),429.9)</f>
        <v>429.9</v>
      </c>
      <c r="G1677" s="26">
        <f>IFERROR(__xludf.DUMMYFUNCTION("""COMPUTED_VALUE"""),5.0)</f>
        <v>5</v>
      </c>
      <c r="H1677" s="26">
        <f>IFERROR(__xludf.DUMMYFUNCTION("""COMPUTED_VALUE"""),111.774)</f>
        <v>111.774</v>
      </c>
    </row>
    <row r="1678">
      <c r="A1678" s="26" t="str">
        <f>IFERROR(__xludf.DUMMYFUNCTION("""COMPUTED_VALUE"""),"CA-2014-130869")</f>
        <v>CA-2014-130869</v>
      </c>
      <c r="B1678" s="29">
        <f>IFERROR(__xludf.DUMMYFUNCTION("""COMPUTED_VALUE"""),41960.0)</f>
        <v>41960</v>
      </c>
      <c r="C1678" s="26" t="str">
        <f>IFERROR(__xludf.DUMMYFUNCTION("""COMPUTED_VALUE"""),"Consumer")</f>
        <v>Consumer</v>
      </c>
      <c r="D1678" s="26" t="str">
        <f>IFERROR(__xludf.DUMMYFUNCTION("""COMPUTED_VALUE"""),"Texas")</f>
        <v>Texas</v>
      </c>
      <c r="E1678" s="26" t="str">
        <f>IFERROR(__xludf.DUMMYFUNCTION("""COMPUTED_VALUE"""),"Central")</f>
        <v>Central</v>
      </c>
      <c r="F1678" s="26">
        <f>IFERROR(__xludf.DUMMYFUNCTION("""COMPUTED_VALUE"""),7.08)</f>
        <v>7.08</v>
      </c>
      <c r="G1678" s="26">
        <f>IFERROR(__xludf.DUMMYFUNCTION("""COMPUTED_VALUE"""),3.0)</f>
        <v>3</v>
      </c>
      <c r="H1678" s="26">
        <f>IFERROR(__xludf.DUMMYFUNCTION("""COMPUTED_VALUE"""),2.478)</f>
        <v>2.478</v>
      </c>
    </row>
    <row r="1679">
      <c r="A1679" s="26" t="str">
        <f>IFERROR(__xludf.DUMMYFUNCTION("""COMPUTED_VALUE"""),"US-2014-165589")</f>
        <v>US-2014-165589</v>
      </c>
      <c r="B1679" s="27">
        <f>IFERROR(__xludf.DUMMYFUNCTION("""COMPUTED_VALUE"""),41688.0)</f>
        <v>41688</v>
      </c>
      <c r="C1679" s="26" t="str">
        <f>IFERROR(__xludf.DUMMYFUNCTION("""COMPUTED_VALUE"""),"Consumer")</f>
        <v>Consumer</v>
      </c>
      <c r="D1679" s="26" t="str">
        <f>IFERROR(__xludf.DUMMYFUNCTION("""COMPUTED_VALUE"""),"Texas")</f>
        <v>Texas</v>
      </c>
      <c r="E1679" s="26" t="str">
        <f>IFERROR(__xludf.DUMMYFUNCTION("""COMPUTED_VALUE"""),"Central")</f>
        <v>Central</v>
      </c>
      <c r="F1679" s="26">
        <f>IFERROR(__xludf.DUMMYFUNCTION("""COMPUTED_VALUE"""),25.16)</f>
        <v>25.16</v>
      </c>
      <c r="G1679" s="26">
        <f>IFERROR(__xludf.DUMMYFUNCTION("""COMPUTED_VALUE"""),5.0)</f>
        <v>5</v>
      </c>
      <c r="H1679" s="26">
        <f>IFERROR(__xludf.DUMMYFUNCTION("""COMPUTED_VALUE"""),-11.322)</f>
        <v>-11.322</v>
      </c>
    </row>
    <row r="1680">
      <c r="A1680" s="26" t="str">
        <f>IFERROR(__xludf.DUMMYFUNCTION("""COMPUTED_VALUE"""),"CA-2014-120852")</f>
        <v>CA-2014-120852</v>
      </c>
      <c r="B1680" s="29">
        <f>IFERROR(__xludf.DUMMYFUNCTION("""COMPUTED_VALUE"""),41993.0)</f>
        <v>41993</v>
      </c>
      <c r="C1680" s="26" t="str">
        <f>IFERROR(__xludf.DUMMYFUNCTION("""COMPUTED_VALUE"""),"Consumer")</f>
        <v>Consumer</v>
      </c>
      <c r="D1680" s="26" t="str">
        <f>IFERROR(__xludf.DUMMYFUNCTION("""COMPUTED_VALUE"""),"Texas")</f>
        <v>Texas</v>
      </c>
      <c r="E1680" s="26" t="str">
        <f>IFERROR(__xludf.DUMMYFUNCTION("""COMPUTED_VALUE"""),"Central")</f>
        <v>Central</v>
      </c>
      <c r="F1680" s="26">
        <f>IFERROR(__xludf.DUMMYFUNCTION("""COMPUTED_VALUE"""),19.432)</f>
        <v>19.432</v>
      </c>
      <c r="G1680" s="26">
        <f>IFERROR(__xludf.DUMMYFUNCTION("""COMPUTED_VALUE"""),2.0)</f>
        <v>2</v>
      </c>
      <c r="H1680" s="26">
        <f>IFERROR(__xludf.DUMMYFUNCTION("""COMPUTED_VALUE"""),-49.5516)</f>
        <v>-49.5516</v>
      </c>
    </row>
    <row r="1681">
      <c r="A1681" s="26" t="str">
        <f>IFERROR(__xludf.DUMMYFUNCTION("""COMPUTED_VALUE"""),"US-2014-106299")</f>
        <v>US-2014-106299</v>
      </c>
      <c r="B1681" s="27">
        <f>IFERROR(__xludf.DUMMYFUNCTION("""COMPUTED_VALUE"""),41853.0)</f>
        <v>41853</v>
      </c>
      <c r="C1681" s="26" t="str">
        <f>IFERROR(__xludf.DUMMYFUNCTION("""COMPUTED_VALUE"""),"Home Office")</f>
        <v>Home Office</v>
      </c>
      <c r="D1681" s="26" t="str">
        <f>IFERROR(__xludf.DUMMYFUNCTION("""COMPUTED_VALUE"""),"Missouri")</f>
        <v>Missouri</v>
      </c>
      <c r="E1681" s="26" t="str">
        <f>IFERROR(__xludf.DUMMYFUNCTION("""COMPUTED_VALUE"""),"Central")</f>
        <v>Central</v>
      </c>
      <c r="F1681" s="26">
        <f>IFERROR(__xludf.DUMMYFUNCTION("""COMPUTED_VALUE"""),26.7)</f>
        <v>26.7</v>
      </c>
      <c r="G1681" s="26">
        <f>IFERROR(__xludf.DUMMYFUNCTION("""COMPUTED_VALUE"""),5.0)</f>
        <v>5</v>
      </c>
      <c r="H1681" s="26">
        <f>IFERROR(__xludf.DUMMYFUNCTION("""COMPUTED_VALUE"""),12.549)</f>
        <v>12.549</v>
      </c>
    </row>
    <row r="1682">
      <c r="A1682" s="26" t="str">
        <f>IFERROR(__xludf.DUMMYFUNCTION("""COMPUTED_VALUE"""),"CA-2014-148782")</f>
        <v>CA-2014-148782</v>
      </c>
      <c r="B1682" s="27">
        <f>IFERROR(__xludf.DUMMYFUNCTION("""COMPUTED_VALUE"""),41945.0)</f>
        <v>41945</v>
      </c>
      <c r="C1682" s="26" t="str">
        <f>IFERROR(__xludf.DUMMYFUNCTION("""COMPUTED_VALUE"""),"Consumer")</f>
        <v>Consumer</v>
      </c>
      <c r="D1682" s="26" t="str">
        <f>IFERROR(__xludf.DUMMYFUNCTION("""COMPUTED_VALUE"""),"Texas")</f>
        <v>Texas</v>
      </c>
      <c r="E1682" s="26" t="str">
        <f>IFERROR(__xludf.DUMMYFUNCTION("""COMPUTED_VALUE"""),"Central")</f>
        <v>Central</v>
      </c>
      <c r="F1682" s="26">
        <f>IFERROR(__xludf.DUMMYFUNCTION("""COMPUTED_VALUE"""),88.776)</f>
        <v>88.776</v>
      </c>
      <c r="G1682" s="26">
        <f>IFERROR(__xludf.DUMMYFUNCTION("""COMPUTED_VALUE"""),3.0)</f>
        <v>3</v>
      </c>
      <c r="H1682" s="26">
        <f>IFERROR(__xludf.DUMMYFUNCTION("""COMPUTED_VALUE"""),7.7679)</f>
        <v>7.7679</v>
      </c>
    </row>
    <row r="1683">
      <c r="A1683" s="26" t="str">
        <f>IFERROR(__xludf.DUMMYFUNCTION("""COMPUTED_VALUE"""),"CA-2014-101147")</f>
        <v>CA-2014-101147</v>
      </c>
      <c r="B1683" s="27">
        <f>IFERROR(__xludf.DUMMYFUNCTION("""COMPUTED_VALUE"""),41975.0)</f>
        <v>41975</v>
      </c>
      <c r="C1683" s="26" t="str">
        <f>IFERROR(__xludf.DUMMYFUNCTION("""COMPUTED_VALUE"""),"Consumer")</f>
        <v>Consumer</v>
      </c>
      <c r="D1683" s="26" t="str">
        <f>IFERROR(__xludf.DUMMYFUNCTION("""COMPUTED_VALUE"""),"Illinois")</f>
        <v>Illinois</v>
      </c>
      <c r="E1683" s="26" t="str">
        <f>IFERROR(__xludf.DUMMYFUNCTION("""COMPUTED_VALUE"""),"Central")</f>
        <v>Central</v>
      </c>
      <c r="F1683" s="26">
        <f>IFERROR(__xludf.DUMMYFUNCTION("""COMPUTED_VALUE"""),2.394)</f>
        <v>2.394</v>
      </c>
      <c r="G1683" s="26">
        <f>IFERROR(__xludf.DUMMYFUNCTION("""COMPUTED_VALUE"""),1.0)</f>
        <v>1</v>
      </c>
      <c r="H1683" s="26">
        <f>IFERROR(__xludf.DUMMYFUNCTION("""COMPUTED_VALUE"""),-6.3441)</f>
        <v>-6.3441</v>
      </c>
    </row>
    <row r="1684">
      <c r="A1684" s="26" t="str">
        <f>IFERROR(__xludf.DUMMYFUNCTION("""COMPUTED_VALUE"""),"US-2014-161305")</f>
        <v>US-2014-161305</v>
      </c>
      <c r="B1684" s="27">
        <f>IFERROR(__xludf.DUMMYFUNCTION("""COMPUTED_VALUE"""),41796.0)</f>
        <v>41796</v>
      </c>
      <c r="C1684" s="26" t="str">
        <f>IFERROR(__xludf.DUMMYFUNCTION("""COMPUTED_VALUE"""),"Consumer")</f>
        <v>Consumer</v>
      </c>
      <c r="D1684" s="26" t="str">
        <f>IFERROR(__xludf.DUMMYFUNCTION("""COMPUTED_VALUE"""),"Illinois")</f>
        <v>Illinois</v>
      </c>
      <c r="E1684" s="26" t="str">
        <f>IFERROR(__xludf.DUMMYFUNCTION("""COMPUTED_VALUE"""),"Central")</f>
        <v>Central</v>
      </c>
      <c r="F1684" s="26">
        <f>IFERROR(__xludf.DUMMYFUNCTION("""COMPUTED_VALUE"""),24.588)</f>
        <v>24.588</v>
      </c>
      <c r="G1684" s="26">
        <f>IFERROR(__xludf.DUMMYFUNCTION("""COMPUTED_VALUE"""),3.0)</f>
        <v>3</v>
      </c>
      <c r="H1684" s="26">
        <f>IFERROR(__xludf.DUMMYFUNCTION("""COMPUTED_VALUE"""),-38.1114)</f>
        <v>-38.1114</v>
      </c>
    </row>
    <row r="1685">
      <c r="A1685" s="26" t="str">
        <f>IFERROR(__xludf.DUMMYFUNCTION("""COMPUTED_VALUE"""),"CA-2014-100762")</f>
        <v>CA-2014-100762</v>
      </c>
      <c r="B1685" s="29">
        <f>IFERROR(__xludf.DUMMYFUNCTION("""COMPUTED_VALUE"""),41967.0)</f>
        <v>41967</v>
      </c>
      <c r="C1685" s="26" t="str">
        <f>IFERROR(__xludf.DUMMYFUNCTION("""COMPUTED_VALUE"""),"Corporate")</f>
        <v>Corporate</v>
      </c>
      <c r="D1685" s="26" t="str">
        <f>IFERROR(__xludf.DUMMYFUNCTION("""COMPUTED_VALUE"""),"Michigan")</f>
        <v>Michigan</v>
      </c>
      <c r="E1685" s="26" t="str">
        <f>IFERROR(__xludf.DUMMYFUNCTION("""COMPUTED_VALUE"""),"Central")</f>
        <v>Central</v>
      </c>
      <c r="F1685" s="26">
        <f>IFERROR(__xludf.DUMMYFUNCTION("""COMPUTED_VALUE"""),151.92)</f>
        <v>151.92</v>
      </c>
      <c r="G1685" s="26">
        <f>IFERROR(__xludf.DUMMYFUNCTION("""COMPUTED_VALUE"""),4.0)</f>
        <v>4</v>
      </c>
      <c r="H1685" s="26">
        <f>IFERROR(__xludf.DUMMYFUNCTION("""COMPUTED_VALUE"""),45.576)</f>
        <v>45.576</v>
      </c>
    </row>
    <row r="1686">
      <c r="A1686" s="26" t="str">
        <f>IFERROR(__xludf.DUMMYFUNCTION("""COMPUTED_VALUE"""),"CA-2014-141299")</f>
        <v>CA-2014-141299</v>
      </c>
      <c r="B1686" s="27">
        <f>IFERROR(__xludf.DUMMYFUNCTION("""COMPUTED_VALUE"""),41793.0)</f>
        <v>41793</v>
      </c>
      <c r="C1686" s="26" t="str">
        <f>IFERROR(__xludf.DUMMYFUNCTION("""COMPUTED_VALUE"""),"Home Office")</f>
        <v>Home Office</v>
      </c>
      <c r="D1686" s="26" t="str">
        <f>IFERROR(__xludf.DUMMYFUNCTION("""COMPUTED_VALUE"""),"Michigan")</f>
        <v>Michigan</v>
      </c>
      <c r="E1686" s="26" t="str">
        <f>IFERROR(__xludf.DUMMYFUNCTION("""COMPUTED_VALUE"""),"Central")</f>
        <v>Central</v>
      </c>
      <c r="F1686" s="26">
        <f>IFERROR(__xludf.DUMMYFUNCTION("""COMPUTED_VALUE"""),15.28)</f>
        <v>15.28</v>
      </c>
      <c r="G1686" s="26">
        <f>IFERROR(__xludf.DUMMYFUNCTION("""COMPUTED_VALUE"""),2.0)</f>
        <v>2</v>
      </c>
      <c r="H1686" s="26">
        <f>IFERROR(__xludf.DUMMYFUNCTION("""COMPUTED_VALUE"""),7.4872)</f>
        <v>7.4872</v>
      </c>
    </row>
    <row r="1687">
      <c r="A1687" s="26" t="str">
        <f>IFERROR(__xludf.DUMMYFUNCTION("""COMPUTED_VALUE"""),"CA-2014-167927")</f>
        <v>CA-2014-167927</v>
      </c>
      <c r="B1687" s="27">
        <f>IFERROR(__xludf.DUMMYFUNCTION("""COMPUTED_VALUE"""),41659.0)</f>
        <v>41659</v>
      </c>
      <c r="C1687" s="26" t="str">
        <f>IFERROR(__xludf.DUMMYFUNCTION("""COMPUTED_VALUE"""),"Consumer")</f>
        <v>Consumer</v>
      </c>
      <c r="D1687" s="26" t="str">
        <f>IFERROR(__xludf.DUMMYFUNCTION("""COMPUTED_VALUE"""),"Michigan")</f>
        <v>Michigan</v>
      </c>
      <c r="E1687" s="26" t="str">
        <f>IFERROR(__xludf.DUMMYFUNCTION("""COMPUTED_VALUE"""),"Central")</f>
        <v>Central</v>
      </c>
      <c r="F1687" s="26">
        <f>IFERROR(__xludf.DUMMYFUNCTION("""COMPUTED_VALUE"""),13.98)</f>
        <v>13.98</v>
      </c>
      <c r="G1687" s="26">
        <f>IFERROR(__xludf.DUMMYFUNCTION("""COMPUTED_VALUE"""),1.0)</f>
        <v>1</v>
      </c>
      <c r="H1687" s="26">
        <f>IFERROR(__xludf.DUMMYFUNCTION("""COMPUTED_VALUE"""),4.0542)</f>
        <v>4.0542</v>
      </c>
    </row>
    <row r="1688">
      <c r="A1688" s="26" t="str">
        <f>IFERROR(__xludf.DUMMYFUNCTION("""COMPUTED_VALUE"""),"CA-2014-134103")</f>
        <v>CA-2014-134103</v>
      </c>
      <c r="B1688" s="27">
        <f>IFERROR(__xludf.DUMMYFUNCTION("""COMPUTED_VALUE"""),41669.0)</f>
        <v>41669</v>
      </c>
      <c r="C1688" s="26" t="str">
        <f>IFERROR(__xludf.DUMMYFUNCTION("""COMPUTED_VALUE"""),"Consumer")</f>
        <v>Consumer</v>
      </c>
      <c r="D1688" s="26" t="str">
        <f>IFERROR(__xludf.DUMMYFUNCTION("""COMPUTED_VALUE"""),"Michigan")</f>
        <v>Michigan</v>
      </c>
      <c r="E1688" s="26" t="str">
        <f>IFERROR(__xludf.DUMMYFUNCTION("""COMPUTED_VALUE"""),"Central")</f>
        <v>Central</v>
      </c>
      <c r="F1688" s="26">
        <f>IFERROR(__xludf.DUMMYFUNCTION("""COMPUTED_VALUE"""),10.56)</f>
        <v>10.56</v>
      </c>
      <c r="G1688" s="26">
        <f>IFERROR(__xludf.DUMMYFUNCTION("""COMPUTED_VALUE"""),2.0)</f>
        <v>2</v>
      </c>
      <c r="H1688" s="26">
        <f>IFERROR(__xludf.DUMMYFUNCTION("""COMPUTED_VALUE"""),4.752)</f>
        <v>4.752</v>
      </c>
    </row>
    <row r="1689">
      <c r="A1689" s="26" t="str">
        <f>IFERROR(__xludf.DUMMYFUNCTION("""COMPUTED_VALUE"""),"CA-2014-151897")</f>
        <v>CA-2014-151897</v>
      </c>
      <c r="B1689" s="27">
        <f>IFERROR(__xludf.DUMMYFUNCTION("""COMPUTED_VALUE"""),41796.0)</f>
        <v>41796</v>
      </c>
      <c r="C1689" s="26" t="str">
        <f>IFERROR(__xludf.DUMMYFUNCTION("""COMPUTED_VALUE"""),"Home Office")</f>
        <v>Home Office</v>
      </c>
      <c r="D1689" s="26" t="str">
        <f>IFERROR(__xludf.DUMMYFUNCTION("""COMPUTED_VALUE"""),"Texas")</f>
        <v>Texas</v>
      </c>
      <c r="E1689" s="26" t="str">
        <f>IFERROR(__xludf.DUMMYFUNCTION("""COMPUTED_VALUE"""),"Central")</f>
        <v>Central</v>
      </c>
      <c r="F1689" s="26">
        <f>IFERROR(__xludf.DUMMYFUNCTION("""COMPUTED_VALUE"""),100.24)</f>
        <v>100.24</v>
      </c>
      <c r="G1689" s="26">
        <f>IFERROR(__xludf.DUMMYFUNCTION("""COMPUTED_VALUE"""),10.0)</f>
        <v>10</v>
      </c>
      <c r="H1689" s="26">
        <f>IFERROR(__xludf.DUMMYFUNCTION("""COMPUTED_VALUE"""),33.831)</f>
        <v>33.831</v>
      </c>
    </row>
    <row r="1690">
      <c r="A1690" s="26" t="str">
        <f>IFERROR(__xludf.DUMMYFUNCTION("""COMPUTED_VALUE"""),"CA-2014-103744")</f>
        <v>CA-2014-103744</v>
      </c>
      <c r="B1690" s="27">
        <f>IFERROR(__xludf.DUMMYFUNCTION("""COMPUTED_VALUE"""),41693.0)</f>
        <v>41693</v>
      </c>
      <c r="C1690" s="26" t="str">
        <f>IFERROR(__xludf.DUMMYFUNCTION("""COMPUTED_VALUE"""),"Home Office")</f>
        <v>Home Office</v>
      </c>
      <c r="D1690" s="26" t="str">
        <f>IFERROR(__xludf.DUMMYFUNCTION("""COMPUTED_VALUE"""),"Texas")</f>
        <v>Texas</v>
      </c>
      <c r="E1690" s="26" t="str">
        <f>IFERROR(__xludf.DUMMYFUNCTION("""COMPUTED_VALUE"""),"Central")</f>
        <v>Central</v>
      </c>
      <c r="F1690" s="26">
        <f>IFERROR(__xludf.DUMMYFUNCTION("""COMPUTED_VALUE"""),6.936)</f>
        <v>6.936</v>
      </c>
      <c r="G1690" s="26">
        <f>IFERROR(__xludf.DUMMYFUNCTION("""COMPUTED_VALUE"""),3.0)</f>
        <v>3</v>
      </c>
      <c r="H1690" s="26">
        <f>IFERROR(__xludf.DUMMYFUNCTION("""COMPUTED_VALUE"""),2.3409)</f>
        <v>2.3409</v>
      </c>
    </row>
    <row r="1691">
      <c r="A1691" s="26" t="str">
        <f>IFERROR(__xludf.DUMMYFUNCTION("""COMPUTED_VALUE"""),"CA-2014-113880")</f>
        <v>CA-2014-113880</v>
      </c>
      <c r="B1691" s="27">
        <f>IFERROR(__xludf.DUMMYFUNCTION("""COMPUTED_VALUE"""),41699.0)</f>
        <v>41699</v>
      </c>
      <c r="C1691" s="26" t="str">
        <f>IFERROR(__xludf.DUMMYFUNCTION("""COMPUTED_VALUE"""),"Home Office")</f>
        <v>Home Office</v>
      </c>
      <c r="D1691" s="26" t="str">
        <f>IFERROR(__xludf.DUMMYFUNCTION("""COMPUTED_VALUE"""),"Illinois")</f>
        <v>Illinois</v>
      </c>
      <c r="E1691" s="26" t="str">
        <f>IFERROR(__xludf.DUMMYFUNCTION("""COMPUTED_VALUE"""),"Central")</f>
        <v>Central</v>
      </c>
      <c r="F1691" s="26">
        <f>IFERROR(__xludf.DUMMYFUNCTION("""COMPUTED_VALUE"""),634.116)</f>
        <v>634.116</v>
      </c>
      <c r="G1691" s="26">
        <f>IFERROR(__xludf.DUMMYFUNCTION("""COMPUTED_VALUE"""),6.0)</f>
        <v>6</v>
      </c>
      <c r="H1691" s="26">
        <f>IFERROR(__xludf.DUMMYFUNCTION("""COMPUTED_VALUE"""),-172.1172)</f>
        <v>-172.1172</v>
      </c>
    </row>
    <row r="1692">
      <c r="A1692" s="26" t="str">
        <f>IFERROR(__xludf.DUMMYFUNCTION("""COMPUTED_VALUE"""),"CA-2014-137092")</f>
        <v>CA-2014-137092</v>
      </c>
      <c r="B1692" s="29">
        <f>IFERROR(__xludf.DUMMYFUNCTION("""COMPUTED_VALUE"""),41932.0)</f>
        <v>41932</v>
      </c>
      <c r="C1692" s="26" t="str">
        <f>IFERROR(__xludf.DUMMYFUNCTION("""COMPUTED_VALUE"""),"Home Office")</f>
        <v>Home Office</v>
      </c>
      <c r="D1692" s="26" t="str">
        <f>IFERROR(__xludf.DUMMYFUNCTION("""COMPUTED_VALUE"""),"Illinois")</f>
        <v>Illinois</v>
      </c>
      <c r="E1692" s="26" t="str">
        <f>IFERROR(__xludf.DUMMYFUNCTION("""COMPUTED_VALUE"""),"Central")</f>
        <v>Central</v>
      </c>
      <c r="F1692" s="26">
        <f>IFERROR(__xludf.DUMMYFUNCTION("""COMPUTED_VALUE"""),319.968)</f>
        <v>319.968</v>
      </c>
      <c r="G1692" s="26">
        <f>IFERROR(__xludf.DUMMYFUNCTION("""COMPUTED_VALUE"""),4.0)</f>
        <v>4</v>
      </c>
      <c r="H1692" s="26">
        <f>IFERROR(__xludf.DUMMYFUNCTION("""COMPUTED_VALUE"""),71.9928)</f>
        <v>71.9928</v>
      </c>
    </row>
    <row r="1693">
      <c r="A1693" s="26" t="str">
        <f>IFERROR(__xludf.DUMMYFUNCTION("""COMPUTED_VALUE"""),"CA-2014-100678")</f>
        <v>CA-2014-100678</v>
      </c>
      <c r="B1693" s="27">
        <f>IFERROR(__xludf.DUMMYFUNCTION("""COMPUTED_VALUE"""),41747.0)</f>
        <v>41747</v>
      </c>
      <c r="C1693" s="26" t="str">
        <f>IFERROR(__xludf.DUMMYFUNCTION("""COMPUTED_VALUE"""),"Consumer")</f>
        <v>Consumer</v>
      </c>
      <c r="D1693" s="26" t="str">
        <f>IFERROR(__xludf.DUMMYFUNCTION("""COMPUTED_VALUE"""),"Texas")</f>
        <v>Texas</v>
      </c>
      <c r="E1693" s="26" t="str">
        <f>IFERROR(__xludf.DUMMYFUNCTION("""COMPUTED_VALUE"""),"Central")</f>
        <v>Central</v>
      </c>
      <c r="F1693" s="26">
        <f>IFERROR(__xludf.DUMMYFUNCTION("""COMPUTED_VALUE"""),2.688)</f>
        <v>2.688</v>
      </c>
      <c r="G1693" s="26">
        <f>IFERROR(__xludf.DUMMYFUNCTION("""COMPUTED_VALUE"""),2.0)</f>
        <v>2</v>
      </c>
      <c r="H1693" s="26">
        <f>IFERROR(__xludf.DUMMYFUNCTION("""COMPUTED_VALUE"""),1.008)</f>
        <v>1.008</v>
      </c>
    </row>
    <row r="1694">
      <c r="A1694" s="26" t="str">
        <f>IFERROR(__xludf.DUMMYFUNCTION("""COMPUTED_VALUE"""),"CA-2014-144029")</f>
        <v>CA-2014-144029</v>
      </c>
      <c r="B1694" s="27">
        <f>IFERROR(__xludf.DUMMYFUNCTION("""COMPUTED_VALUE"""),41785.0)</f>
        <v>41785</v>
      </c>
      <c r="C1694" s="26" t="str">
        <f>IFERROR(__xludf.DUMMYFUNCTION("""COMPUTED_VALUE"""),"Consumer")</f>
        <v>Consumer</v>
      </c>
      <c r="D1694" s="26" t="str">
        <f>IFERROR(__xludf.DUMMYFUNCTION("""COMPUTED_VALUE"""),"Illinois")</f>
        <v>Illinois</v>
      </c>
      <c r="E1694" s="26" t="str">
        <f>IFERROR(__xludf.DUMMYFUNCTION("""COMPUTED_VALUE"""),"Central")</f>
        <v>Central</v>
      </c>
      <c r="F1694" s="26">
        <f>IFERROR(__xludf.DUMMYFUNCTION("""COMPUTED_VALUE"""),102.624)</f>
        <v>102.624</v>
      </c>
      <c r="G1694" s="26">
        <f>IFERROR(__xludf.DUMMYFUNCTION("""COMPUTED_VALUE"""),3.0)</f>
        <v>3</v>
      </c>
      <c r="H1694" s="26">
        <f>IFERROR(__xludf.DUMMYFUNCTION("""COMPUTED_VALUE"""),7.6968)</f>
        <v>7.6968</v>
      </c>
    </row>
    <row r="1695">
      <c r="A1695" s="26" t="str">
        <f>IFERROR(__xludf.DUMMYFUNCTION("""COMPUTED_VALUE"""),"CA-2014-124394")</f>
        <v>CA-2014-124394</v>
      </c>
      <c r="B1695" s="29">
        <f>IFERROR(__xludf.DUMMYFUNCTION("""COMPUTED_VALUE"""),41929.0)</f>
        <v>41929</v>
      </c>
      <c r="C1695" s="26" t="str">
        <f>IFERROR(__xludf.DUMMYFUNCTION("""COMPUTED_VALUE"""),"Consumer")</f>
        <v>Consumer</v>
      </c>
      <c r="D1695" s="26" t="str">
        <f>IFERROR(__xludf.DUMMYFUNCTION("""COMPUTED_VALUE"""),"Texas")</f>
        <v>Texas</v>
      </c>
      <c r="E1695" s="26" t="str">
        <f>IFERROR(__xludf.DUMMYFUNCTION("""COMPUTED_VALUE"""),"Central")</f>
        <v>Central</v>
      </c>
      <c r="F1695" s="26">
        <f>IFERROR(__xludf.DUMMYFUNCTION("""COMPUTED_VALUE"""),10.78)</f>
        <v>10.78</v>
      </c>
      <c r="G1695" s="26">
        <f>IFERROR(__xludf.DUMMYFUNCTION("""COMPUTED_VALUE"""),5.0)</f>
        <v>5</v>
      </c>
      <c r="H1695" s="26">
        <f>IFERROR(__xludf.DUMMYFUNCTION("""COMPUTED_VALUE"""),-17.248)</f>
        <v>-17.248</v>
      </c>
    </row>
    <row r="1696">
      <c r="A1696" s="26" t="str">
        <f>IFERROR(__xludf.DUMMYFUNCTION("""COMPUTED_VALUE"""),"CA-2014-142510")</f>
        <v>CA-2014-142510</v>
      </c>
      <c r="B1696" s="29">
        <f>IFERROR(__xludf.DUMMYFUNCTION("""COMPUTED_VALUE"""),41995.0)</f>
        <v>41995</v>
      </c>
      <c r="C1696" s="26" t="str">
        <f>IFERROR(__xludf.DUMMYFUNCTION("""COMPUTED_VALUE"""),"Consumer")</f>
        <v>Consumer</v>
      </c>
      <c r="D1696" s="26" t="str">
        <f>IFERROR(__xludf.DUMMYFUNCTION("""COMPUTED_VALUE"""),"Illinois")</f>
        <v>Illinois</v>
      </c>
      <c r="E1696" s="26" t="str">
        <f>IFERROR(__xludf.DUMMYFUNCTION("""COMPUTED_VALUE"""),"Central")</f>
        <v>Central</v>
      </c>
      <c r="F1696" s="26">
        <f>IFERROR(__xludf.DUMMYFUNCTION("""COMPUTED_VALUE"""),132.16)</f>
        <v>132.16</v>
      </c>
      <c r="G1696" s="26">
        <f>IFERROR(__xludf.DUMMYFUNCTION("""COMPUTED_VALUE"""),1.0)</f>
        <v>1</v>
      </c>
      <c r="H1696" s="26">
        <f>IFERROR(__xludf.DUMMYFUNCTION("""COMPUTED_VALUE"""),9.912)</f>
        <v>9.912</v>
      </c>
    </row>
    <row r="1697">
      <c r="A1697" s="26" t="str">
        <f>IFERROR(__xludf.DUMMYFUNCTION("""COMPUTED_VALUE"""),"CA-2014-126963")</f>
        <v>CA-2014-126963</v>
      </c>
      <c r="B1697" s="27">
        <f>IFERROR(__xludf.DUMMYFUNCTION("""COMPUTED_VALUE"""),41805.0)</f>
        <v>41805</v>
      </c>
      <c r="C1697" s="26" t="str">
        <f>IFERROR(__xludf.DUMMYFUNCTION("""COMPUTED_VALUE"""),"Consumer")</f>
        <v>Consumer</v>
      </c>
      <c r="D1697" s="26" t="str">
        <f>IFERROR(__xludf.DUMMYFUNCTION("""COMPUTED_VALUE"""),"Texas")</f>
        <v>Texas</v>
      </c>
      <c r="E1697" s="26" t="str">
        <f>IFERROR(__xludf.DUMMYFUNCTION("""COMPUTED_VALUE"""),"Central")</f>
        <v>Central</v>
      </c>
      <c r="F1697" s="26">
        <f>IFERROR(__xludf.DUMMYFUNCTION("""COMPUTED_VALUE"""),36.544)</f>
        <v>36.544</v>
      </c>
      <c r="G1697" s="26">
        <f>IFERROR(__xludf.DUMMYFUNCTION("""COMPUTED_VALUE"""),2.0)</f>
        <v>2</v>
      </c>
      <c r="H1697" s="26">
        <f>IFERROR(__xludf.DUMMYFUNCTION("""COMPUTED_VALUE"""),11.8768)</f>
        <v>11.8768</v>
      </c>
    </row>
    <row r="1698">
      <c r="A1698" s="26" t="str">
        <f>IFERROR(__xludf.DUMMYFUNCTION("""COMPUTED_VALUE"""),"CA-2014-126333")</f>
        <v>CA-2014-126333</v>
      </c>
      <c r="B1698" s="29">
        <f>IFERROR(__xludf.DUMMYFUNCTION("""COMPUTED_VALUE"""),41996.0)</f>
        <v>41996</v>
      </c>
      <c r="C1698" s="26" t="str">
        <f>IFERROR(__xludf.DUMMYFUNCTION("""COMPUTED_VALUE"""),"Corporate")</f>
        <v>Corporate</v>
      </c>
      <c r="D1698" s="26" t="str">
        <f>IFERROR(__xludf.DUMMYFUNCTION("""COMPUTED_VALUE"""),"Texas")</f>
        <v>Texas</v>
      </c>
      <c r="E1698" s="26" t="str">
        <f>IFERROR(__xludf.DUMMYFUNCTION("""COMPUTED_VALUE"""),"Central")</f>
        <v>Central</v>
      </c>
      <c r="F1698" s="26">
        <f>IFERROR(__xludf.DUMMYFUNCTION("""COMPUTED_VALUE"""),5.184)</f>
        <v>5.184</v>
      </c>
      <c r="G1698" s="26">
        <f>IFERROR(__xludf.DUMMYFUNCTION("""COMPUTED_VALUE"""),1.0)</f>
        <v>1</v>
      </c>
      <c r="H1698" s="26">
        <f>IFERROR(__xludf.DUMMYFUNCTION("""COMPUTED_VALUE"""),1.8144)</f>
        <v>1.8144</v>
      </c>
    </row>
    <row r="1699">
      <c r="A1699" s="26" t="str">
        <f>IFERROR(__xludf.DUMMYFUNCTION("""COMPUTED_VALUE"""),"CA-2014-119466")</f>
        <v>CA-2014-119466</v>
      </c>
      <c r="B1699" s="29">
        <f>IFERROR(__xludf.DUMMYFUNCTION("""COMPUTED_VALUE"""),41988.0)</f>
        <v>41988</v>
      </c>
      <c r="C1699" s="26" t="str">
        <f>IFERROR(__xludf.DUMMYFUNCTION("""COMPUTED_VALUE"""),"Corporate")</f>
        <v>Corporate</v>
      </c>
      <c r="D1699" s="26" t="str">
        <f>IFERROR(__xludf.DUMMYFUNCTION("""COMPUTED_VALUE"""),"Illinois")</f>
        <v>Illinois</v>
      </c>
      <c r="E1699" s="26" t="str">
        <f>IFERROR(__xludf.DUMMYFUNCTION("""COMPUTED_VALUE"""),"Central")</f>
        <v>Central</v>
      </c>
      <c r="F1699" s="26">
        <f>IFERROR(__xludf.DUMMYFUNCTION("""COMPUTED_VALUE"""),8.544)</f>
        <v>8.544</v>
      </c>
      <c r="G1699" s="26">
        <f>IFERROR(__xludf.DUMMYFUNCTION("""COMPUTED_VALUE"""),2.0)</f>
        <v>2</v>
      </c>
      <c r="H1699" s="26">
        <f>IFERROR(__xludf.DUMMYFUNCTION("""COMPUTED_VALUE"""),-7.476)</f>
        <v>-7.476</v>
      </c>
    </row>
    <row r="1700">
      <c r="A1700" s="26" t="str">
        <f>IFERROR(__xludf.DUMMYFUNCTION("""COMPUTED_VALUE"""),"CA-2014-118276")</f>
        <v>CA-2014-118276</v>
      </c>
      <c r="B1700" s="29">
        <f>IFERROR(__xludf.DUMMYFUNCTION("""COMPUTED_VALUE"""),42002.0)</f>
        <v>42002</v>
      </c>
      <c r="C1700" s="26" t="str">
        <f>IFERROR(__xludf.DUMMYFUNCTION("""COMPUTED_VALUE"""),"Home Office")</f>
        <v>Home Office</v>
      </c>
      <c r="D1700" s="26" t="str">
        <f>IFERROR(__xludf.DUMMYFUNCTION("""COMPUTED_VALUE"""),"Illinois")</f>
        <v>Illinois</v>
      </c>
      <c r="E1700" s="26" t="str">
        <f>IFERROR(__xludf.DUMMYFUNCTION("""COMPUTED_VALUE"""),"Central")</f>
        <v>Central</v>
      </c>
      <c r="F1700" s="26">
        <f>IFERROR(__xludf.DUMMYFUNCTION("""COMPUTED_VALUE"""),8.736)</f>
        <v>8.736</v>
      </c>
      <c r="G1700" s="26">
        <f>IFERROR(__xludf.DUMMYFUNCTION("""COMPUTED_VALUE"""),3.0)</f>
        <v>3</v>
      </c>
      <c r="H1700" s="26">
        <f>IFERROR(__xludf.DUMMYFUNCTION("""COMPUTED_VALUE"""),-4.8048)</f>
        <v>-4.8048</v>
      </c>
    </row>
    <row r="1701">
      <c r="A1701" s="26" t="str">
        <f>IFERROR(__xludf.DUMMYFUNCTION("""COMPUTED_VALUE"""),"US-2014-143721")</f>
        <v>US-2014-143721</v>
      </c>
      <c r="B1701" s="29">
        <f>IFERROR(__xludf.DUMMYFUNCTION("""COMPUTED_VALUE"""),41966.0)</f>
        <v>41966</v>
      </c>
      <c r="C1701" s="26" t="str">
        <f>IFERROR(__xludf.DUMMYFUNCTION("""COMPUTED_VALUE"""),"Corporate")</f>
        <v>Corporate</v>
      </c>
      <c r="D1701" s="26" t="str">
        <f>IFERROR(__xludf.DUMMYFUNCTION("""COMPUTED_VALUE"""),"Texas")</f>
        <v>Texas</v>
      </c>
      <c r="E1701" s="26" t="str">
        <f>IFERROR(__xludf.DUMMYFUNCTION("""COMPUTED_VALUE"""),"Central")</f>
        <v>Central</v>
      </c>
      <c r="F1701" s="26">
        <f>IFERROR(__xludf.DUMMYFUNCTION("""COMPUTED_VALUE"""),155.372)</f>
        <v>155.372</v>
      </c>
      <c r="G1701" s="26">
        <f>IFERROR(__xludf.DUMMYFUNCTION("""COMPUTED_VALUE"""),2.0)</f>
        <v>2</v>
      </c>
      <c r="H1701" s="26">
        <f>IFERROR(__xludf.DUMMYFUNCTION("""COMPUTED_VALUE"""),-35.5136)</f>
        <v>-35.5136</v>
      </c>
    </row>
    <row r="1702">
      <c r="A1702" s="26" t="str">
        <f>IFERROR(__xludf.DUMMYFUNCTION("""COMPUTED_VALUE"""),"CA-2014-158281")</f>
        <v>CA-2014-158281</v>
      </c>
      <c r="B1702" s="27">
        <f>IFERROR(__xludf.DUMMYFUNCTION("""COMPUTED_VALUE"""),41884.0)</f>
        <v>41884</v>
      </c>
      <c r="C1702" s="26" t="str">
        <f>IFERROR(__xludf.DUMMYFUNCTION("""COMPUTED_VALUE"""),"Corporate")</f>
        <v>Corporate</v>
      </c>
      <c r="D1702" s="26" t="str">
        <f>IFERROR(__xludf.DUMMYFUNCTION("""COMPUTED_VALUE"""),"Texas")</f>
        <v>Texas</v>
      </c>
      <c r="E1702" s="26" t="str">
        <f>IFERROR(__xludf.DUMMYFUNCTION("""COMPUTED_VALUE"""),"Central")</f>
        <v>Central</v>
      </c>
      <c r="F1702" s="26">
        <f>IFERROR(__xludf.DUMMYFUNCTION("""COMPUTED_VALUE"""),559.71)</f>
        <v>559.71</v>
      </c>
      <c r="G1702" s="26">
        <f>IFERROR(__xludf.DUMMYFUNCTION("""COMPUTED_VALUE"""),3.0)</f>
        <v>3</v>
      </c>
      <c r="H1702" s="26">
        <f>IFERROR(__xludf.DUMMYFUNCTION("""COMPUTED_VALUE"""),-121.2705)</f>
        <v>-121.2705</v>
      </c>
    </row>
    <row r="1703">
      <c r="A1703" s="26" t="str">
        <f>IFERROR(__xludf.DUMMYFUNCTION("""COMPUTED_VALUE"""),"CA-2014-111899")</f>
        <v>CA-2014-111899</v>
      </c>
      <c r="B1703" s="27">
        <f>IFERROR(__xludf.DUMMYFUNCTION("""COMPUTED_VALUE"""),41763.0)</f>
        <v>41763</v>
      </c>
      <c r="C1703" s="26" t="str">
        <f>IFERROR(__xludf.DUMMYFUNCTION("""COMPUTED_VALUE"""),"Consumer")</f>
        <v>Consumer</v>
      </c>
      <c r="D1703" s="26" t="str">
        <f>IFERROR(__xludf.DUMMYFUNCTION("""COMPUTED_VALUE"""),"Texas")</f>
        <v>Texas</v>
      </c>
      <c r="E1703" s="26" t="str">
        <f>IFERROR(__xludf.DUMMYFUNCTION("""COMPUTED_VALUE"""),"Central")</f>
        <v>Central</v>
      </c>
      <c r="F1703" s="26">
        <f>IFERROR(__xludf.DUMMYFUNCTION("""COMPUTED_VALUE"""),37.84)</f>
        <v>37.84</v>
      </c>
      <c r="G1703" s="26">
        <f>IFERROR(__xludf.DUMMYFUNCTION("""COMPUTED_VALUE"""),2.0)</f>
        <v>2</v>
      </c>
      <c r="H1703" s="26">
        <f>IFERROR(__xludf.DUMMYFUNCTION("""COMPUTED_VALUE"""),2.838)</f>
        <v>2.838</v>
      </c>
    </row>
    <row r="1704">
      <c r="A1704" s="26" t="str">
        <f>IFERROR(__xludf.DUMMYFUNCTION("""COMPUTED_VALUE"""),"CA-2014-163468")</f>
        <v>CA-2014-163468</v>
      </c>
      <c r="B1704" s="29">
        <f>IFERROR(__xludf.DUMMYFUNCTION("""COMPUTED_VALUE"""),41961.0)</f>
        <v>41961</v>
      </c>
      <c r="C1704" s="26" t="str">
        <f>IFERROR(__xludf.DUMMYFUNCTION("""COMPUTED_VALUE"""),"Consumer")</f>
        <v>Consumer</v>
      </c>
      <c r="D1704" s="26" t="str">
        <f>IFERROR(__xludf.DUMMYFUNCTION("""COMPUTED_VALUE"""),"Illinois")</f>
        <v>Illinois</v>
      </c>
      <c r="E1704" s="26" t="str">
        <f>IFERROR(__xludf.DUMMYFUNCTION("""COMPUTED_VALUE"""),"Central")</f>
        <v>Central</v>
      </c>
      <c r="F1704" s="26">
        <f>IFERROR(__xludf.DUMMYFUNCTION("""COMPUTED_VALUE"""),292.1)</f>
        <v>292.1</v>
      </c>
      <c r="G1704" s="26">
        <f>IFERROR(__xludf.DUMMYFUNCTION("""COMPUTED_VALUE"""),4.0)</f>
        <v>4</v>
      </c>
      <c r="H1704" s="26">
        <f>IFERROR(__xludf.DUMMYFUNCTION("""COMPUTED_VALUE"""),-175.26)</f>
        <v>-175.26</v>
      </c>
    </row>
    <row r="1705">
      <c r="A1705" s="26" t="str">
        <f>IFERROR(__xludf.DUMMYFUNCTION("""COMPUTED_VALUE"""),"CA-2014-137274")</f>
        <v>CA-2014-137274</v>
      </c>
      <c r="B1705" s="27">
        <f>IFERROR(__xludf.DUMMYFUNCTION("""COMPUTED_VALUE"""),41727.0)</f>
        <v>41727</v>
      </c>
      <c r="C1705" s="26" t="str">
        <f>IFERROR(__xludf.DUMMYFUNCTION("""COMPUTED_VALUE"""),"Consumer")</f>
        <v>Consumer</v>
      </c>
      <c r="D1705" s="26" t="str">
        <f>IFERROR(__xludf.DUMMYFUNCTION("""COMPUTED_VALUE"""),"Texas")</f>
        <v>Texas</v>
      </c>
      <c r="E1705" s="26" t="str">
        <f>IFERROR(__xludf.DUMMYFUNCTION("""COMPUTED_VALUE"""),"Central")</f>
        <v>Central</v>
      </c>
      <c r="F1705" s="26">
        <f>IFERROR(__xludf.DUMMYFUNCTION("""COMPUTED_VALUE"""),890.841)</f>
        <v>890.841</v>
      </c>
      <c r="G1705" s="26">
        <f>IFERROR(__xludf.DUMMYFUNCTION("""COMPUTED_VALUE"""),3.0)</f>
        <v>3</v>
      </c>
      <c r="H1705" s="26">
        <f>IFERROR(__xludf.DUMMYFUNCTION("""COMPUTED_VALUE"""),-152.7156)</f>
        <v>-152.7156</v>
      </c>
    </row>
    <row r="1706">
      <c r="A1706" s="26" t="str">
        <f>IFERROR(__xludf.DUMMYFUNCTION("""COMPUTED_VALUE"""),"CA-2014-130421")</f>
        <v>CA-2014-130421</v>
      </c>
      <c r="B1706" s="27">
        <f>IFERROR(__xludf.DUMMYFUNCTION("""COMPUTED_VALUE"""),41701.0)</f>
        <v>41701</v>
      </c>
      <c r="C1706" s="26" t="str">
        <f>IFERROR(__xludf.DUMMYFUNCTION("""COMPUTED_VALUE"""),"Consumer")</f>
        <v>Consumer</v>
      </c>
      <c r="D1706" s="26" t="str">
        <f>IFERROR(__xludf.DUMMYFUNCTION("""COMPUTED_VALUE"""),"Texas")</f>
        <v>Texas</v>
      </c>
      <c r="E1706" s="26" t="str">
        <f>IFERROR(__xludf.DUMMYFUNCTION("""COMPUTED_VALUE"""),"Central")</f>
        <v>Central</v>
      </c>
      <c r="F1706" s="26">
        <f>IFERROR(__xludf.DUMMYFUNCTION("""COMPUTED_VALUE"""),176.772)</f>
        <v>176.772</v>
      </c>
      <c r="G1706" s="26">
        <f>IFERROR(__xludf.DUMMYFUNCTION("""COMPUTED_VALUE"""),3.0)</f>
        <v>3</v>
      </c>
      <c r="H1706" s="26">
        <f>IFERROR(__xludf.DUMMYFUNCTION("""COMPUTED_VALUE"""),-459.6072)</f>
        <v>-459.6072</v>
      </c>
    </row>
    <row r="1707">
      <c r="A1707" s="26" t="str">
        <f>IFERROR(__xludf.DUMMYFUNCTION("""COMPUTED_VALUE"""),"CA-2014-107769")</f>
        <v>CA-2014-107769</v>
      </c>
      <c r="B1707" s="29">
        <f>IFERROR(__xludf.DUMMYFUNCTION("""COMPUTED_VALUE"""),41940.0)</f>
        <v>41940</v>
      </c>
      <c r="C1707" s="26" t="str">
        <f>IFERROR(__xludf.DUMMYFUNCTION("""COMPUTED_VALUE"""),"Corporate")</f>
        <v>Corporate</v>
      </c>
      <c r="D1707" s="26" t="str">
        <f>IFERROR(__xludf.DUMMYFUNCTION("""COMPUTED_VALUE"""),"Kansas")</f>
        <v>Kansas</v>
      </c>
      <c r="E1707" s="26" t="str">
        <f>IFERROR(__xludf.DUMMYFUNCTION("""COMPUTED_VALUE"""),"Central")</f>
        <v>Central</v>
      </c>
      <c r="F1707" s="26">
        <f>IFERROR(__xludf.DUMMYFUNCTION("""COMPUTED_VALUE"""),257.98)</f>
        <v>257.98</v>
      </c>
      <c r="G1707" s="26">
        <f>IFERROR(__xludf.DUMMYFUNCTION("""COMPUTED_VALUE"""),2.0)</f>
        <v>2</v>
      </c>
      <c r="H1707" s="26">
        <f>IFERROR(__xludf.DUMMYFUNCTION("""COMPUTED_VALUE"""),74.8142)</f>
        <v>74.8142</v>
      </c>
    </row>
    <row r="1708">
      <c r="A1708" s="26" t="str">
        <f>IFERROR(__xludf.DUMMYFUNCTION("""COMPUTED_VALUE"""),"CA-2014-124807")</f>
        <v>CA-2014-124807</v>
      </c>
      <c r="B1708" s="27">
        <f>IFERROR(__xludf.DUMMYFUNCTION("""COMPUTED_VALUE"""),41832.0)</f>
        <v>41832</v>
      </c>
      <c r="C1708" s="26" t="str">
        <f>IFERROR(__xludf.DUMMYFUNCTION("""COMPUTED_VALUE"""),"Consumer")</f>
        <v>Consumer</v>
      </c>
      <c r="D1708" s="26" t="str">
        <f>IFERROR(__xludf.DUMMYFUNCTION("""COMPUTED_VALUE"""),"Illinois")</f>
        <v>Illinois</v>
      </c>
      <c r="E1708" s="26" t="str">
        <f>IFERROR(__xludf.DUMMYFUNCTION("""COMPUTED_VALUE"""),"Central")</f>
        <v>Central</v>
      </c>
      <c r="F1708" s="26">
        <f>IFERROR(__xludf.DUMMYFUNCTION("""COMPUTED_VALUE"""),35.856)</f>
        <v>35.856</v>
      </c>
      <c r="G1708" s="26">
        <f>IFERROR(__xludf.DUMMYFUNCTION("""COMPUTED_VALUE"""),9.0)</f>
        <v>9</v>
      </c>
      <c r="H1708" s="26">
        <f>IFERROR(__xludf.DUMMYFUNCTION("""COMPUTED_VALUE"""),12.9978)</f>
        <v>12.9978</v>
      </c>
    </row>
    <row r="1709">
      <c r="A1709" s="26" t="str">
        <f>IFERROR(__xludf.DUMMYFUNCTION("""COMPUTED_VALUE"""),"CA-2014-109932")</f>
        <v>CA-2014-109932</v>
      </c>
      <c r="B1709" s="27">
        <f>IFERROR(__xludf.DUMMYFUNCTION("""COMPUTED_VALUE"""),41982.0)</f>
        <v>41982</v>
      </c>
      <c r="C1709" s="26" t="str">
        <f>IFERROR(__xludf.DUMMYFUNCTION("""COMPUTED_VALUE"""),"Corporate")</f>
        <v>Corporate</v>
      </c>
      <c r="D1709" s="26" t="str">
        <f>IFERROR(__xludf.DUMMYFUNCTION("""COMPUTED_VALUE"""),"Texas")</f>
        <v>Texas</v>
      </c>
      <c r="E1709" s="26" t="str">
        <f>IFERROR(__xludf.DUMMYFUNCTION("""COMPUTED_VALUE"""),"Central")</f>
        <v>Central</v>
      </c>
      <c r="F1709" s="26">
        <f>IFERROR(__xludf.DUMMYFUNCTION("""COMPUTED_VALUE"""),10.688)</f>
        <v>10.688</v>
      </c>
      <c r="G1709" s="26">
        <f>IFERROR(__xludf.DUMMYFUNCTION("""COMPUTED_VALUE"""),2.0)</f>
        <v>2</v>
      </c>
      <c r="H1709" s="26">
        <f>IFERROR(__xludf.DUMMYFUNCTION("""COMPUTED_VALUE"""),3.7408)</f>
        <v>3.7408</v>
      </c>
    </row>
    <row r="1710">
      <c r="A1710" s="26" t="str">
        <f>IFERROR(__xludf.DUMMYFUNCTION("""COMPUTED_VALUE"""),"CA-2014-103492")</f>
        <v>CA-2014-103492</v>
      </c>
      <c r="B1710" s="29">
        <f>IFERROR(__xludf.DUMMYFUNCTION("""COMPUTED_VALUE"""),41922.0)</f>
        <v>41922</v>
      </c>
      <c r="C1710" s="26" t="str">
        <f>IFERROR(__xludf.DUMMYFUNCTION("""COMPUTED_VALUE"""),"Corporate")</f>
        <v>Corporate</v>
      </c>
      <c r="D1710" s="26" t="str">
        <f>IFERROR(__xludf.DUMMYFUNCTION("""COMPUTED_VALUE"""),"Texas")</f>
        <v>Texas</v>
      </c>
      <c r="E1710" s="26" t="str">
        <f>IFERROR(__xludf.DUMMYFUNCTION("""COMPUTED_VALUE"""),"Central")</f>
        <v>Central</v>
      </c>
      <c r="F1710" s="26">
        <f>IFERROR(__xludf.DUMMYFUNCTION("""COMPUTED_VALUE"""),719.952)</f>
        <v>719.952</v>
      </c>
      <c r="G1710" s="26">
        <f>IFERROR(__xludf.DUMMYFUNCTION("""COMPUTED_VALUE"""),6.0)</f>
        <v>6</v>
      </c>
      <c r="H1710" s="26">
        <f>IFERROR(__xludf.DUMMYFUNCTION("""COMPUTED_VALUE"""),71.9952)</f>
        <v>71.9952</v>
      </c>
    </row>
    <row r="1711">
      <c r="A1711" s="26" t="str">
        <f>IFERROR(__xludf.DUMMYFUNCTION("""COMPUTED_VALUE"""),"CA-2014-162089")</f>
        <v>CA-2014-162089</v>
      </c>
      <c r="B1711" s="27">
        <f>IFERROR(__xludf.DUMMYFUNCTION("""COMPUTED_VALUE"""),41728.0)</f>
        <v>41728</v>
      </c>
      <c r="C1711" s="26" t="str">
        <f>IFERROR(__xludf.DUMMYFUNCTION("""COMPUTED_VALUE"""),"Home Office")</f>
        <v>Home Office</v>
      </c>
      <c r="D1711" s="26" t="str">
        <f>IFERROR(__xludf.DUMMYFUNCTION("""COMPUTED_VALUE"""),"Texas")</f>
        <v>Texas</v>
      </c>
      <c r="E1711" s="26" t="str">
        <f>IFERROR(__xludf.DUMMYFUNCTION("""COMPUTED_VALUE"""),"Central")</f>
        <v>Central</v>
      </c>
      <c r="F1711" s="26">
        <f>IFERROR(__xludf.DUMMYFUNCTION("""COMPUTED_VALUE"""),335.72)</f>
        <v>335.72</v>
      </c>
      <c r="G1711" s="26">
        <f>IFERROR(__xludf.DUMMYFUNCTION("""COMPUTED_VALUE"""),5.0)</f>
        <v>5</v>
      </c>
      <c r="H1711" s="26">
        <f>IFERROR(__xludf.DUMMYFUNCTION("""COMPUTED_VALUE"""),113.3055)</f>
        <v>113.3055</v>
      </c>
    </row>
    <row r="1712">
      <c r="A1712" s="26" t="str">
        <f>IFERROR(__xludf.DUMMYFUNCTION("""COMPUTED_VALUE"""),"CA-2014-105417")</f>
        <v>CA-2014-105417</v>
      </c>
      <c r="B1712" s="27">
        <f>IFERROR(__xludf.DUMMYFUNCTION("""COMPUTED_VALUE"""),41646.0)</f>
        <v>41646</v>
      </c>
      <c r="C1712" s="26" t="str">
        <f>IFERROR(__xludf.DUMMYFUNCTION("""COMPUTED_VALUE"""),"Consumer")</f>
        <v>Consumer</v>
      </c>
      <c r="D1712" s="26" t="str">
        <f>IFERROR(__xludf.DUMMYFUNCTION("""COMPUTED_VALUE"""),"Texas")</f>
        <v>Texas</v>
      </c>
      <c r="E1712" s="26" t="str">
        <f>IFERROR(__xludf.DUMMYFUNCTION("""COMPUTED_VALUE"""),"Central")</f>
        <v>Central</v>
      </c>
      <c r="F1712" s="26">
        <f>IFERROR(__xludf.DUMMYFUNCTION("""COMPUTED_VALUE"""),76.728)</f>
        <v>76.728</v>
      </c>
      <c r="G1712" s="26">
        <f>IFERROR(__xludf.DUMMYFUNCTION("""COMPUTED_VALUE"""),3.0)</f>
        <v>3</v>
      </c>
      <c r="H1712" s="26">
        <f>IFERROR(__xludf.DUMMYFUNCTION("""COMPUTED_VALUE"""),-53.7096)</f>
        <v>-53.7096</v>
      </c>
    </row>
    <row r="1713">
      <c r="A1713" s="26" t="str">
        <f>IFERROR(__xludf.DUMMYFUNCTION("""COMPUTED_VALUE"""),"US-2014-137869")</f>
        <v>US-2014-137869</v>
      </c>
      <c r="B1713" s="27">
        <f>IFERROR(__xludf.DUMMYFUNCTION("""COMPUTED_VALUE"""),41726.0)</f>
        <v>41726</v>
      </c>
      <c r="C1713" s="26" t="str">
        <f>IFERROR(__xludf.DUMMYFUNCTION("""COMPUTED_VALUE"""),"Consumer")</f>
        <v>Consumer</v>
      </c>
      <c r="D1713" s="26" t="str">
        <f>IFERROR(__xludf.DUMMYFUNCTION("""COMPUTED_VALUE"""),"Iowa")</f>
        <v>Iowa</v>
      </c>
      <c r="E1713" s="26" t="str">
        <f>IFERROR(__xludf.DUMMYFUNCTION("""COMPUTED_VALUE"""),"Central")</f>
        <v>Central</v>
      </c>
      <c r="F1713" s="26">
        <f>IFERROR(__xludf.DUMMYFUNCTION("""COMPUTED_VALUE"""),6.12)</f>
        <v>6.12</v>
      </c>
      <c r="G1713" s="26">
        <f>IFERROR(__xludf.DUMMYFUNCTION("""COMPUTED_VALUE"""),3.0)</f>
        <v>3</v>
      </c>
      <c r="H1713" s="26">
        <f>IFERROR(__xludf.DUMMYFUNCTION("""COMPUTED_VALUE"""),2.8764)</f>
        <v>2.8764</v>
      </c>
    </row>
    <row r="1714">
      <c r="A1714" s="26" t="str">
        <f>IFERROR(__xludf.DUMMYFUNCTION("""COMPUTED_VALUE"""),"CA-2014-169649")</f>
        <v>CA-2014-169649</v>
      </c>
      <c r="B1714" s="27">
        <f>IFERROR(__xludf.DUMMYFUNCTION("""COMPUTED_VALUE"""),41982.0)</f>
        <v>41982</v>
      </c>
      <c r="C1714" s="26" t="str">
        <f>IFERROR(__xludf.DUMMYFUNCTION("""COMPUTED_VALUE"""),"Corporate")</f>
        <v>Corporate</v>
      </c>
      <c r="D1714" s="26" t="str">
        <f>IFERROR(__xludf.DUMMYFUNCTION("""COMPUTED_VALUE"""),"Illinois")</f>
        <v>Illinois</v>
      </c>
      <c r="E1714" s="26" t="str">
        <f>IFERROR(__xludf.DUMMYFUNCTION("""COMPUTED_VALUE"""),"Central")</f>
        <v>Central</v>
      </c>
      <c r="F1714" s="26">
        <f>IFERROR(__xludf.DUMMYFUNCTION("""COMPUTED_VALUE"""),8.448)</f>
        <v>8.448</v>
      </c>
      <c r="G1714" s="26">
        <f>IFERROR(__xludf.DUMMYFUNCTION("""COMPUTED_VALUE"""),2.0)</f>
        <v>2</v>
      </c>
      <c r="H1714" s="26">
        <f>IFERROR(__xludf.DUMMYFUNCTION("""COMPUTED_VALUE"""),2.9568)</f>
        <v>2.9568</v>
      </c>
    </row>
    <row r="1715">
      <c r="A1715" s="26" t="str">
        <f>IFERROR(__xludf.DUMMYFUNCTION("""COMPUTED_VALUE"""),"CA-2014-131009")</f>
        <v>CA-2014-131009</v>
      </c>
      <c r="B1715" s="27">
        <f>IFERROR(__xludf.DUMMYFUNCTION("""COMPUTED_VALUE"""),41699.0)</f>
        <v>41699</v>
      </c>
      <c r="C1715" s="26" t="str">
        <f>IFERROR(__xludf.DUMMYFUNCTION("""COMPUTED_VALUE"""),"Consumer")</f>
        <v>Consumer</v>
      </c>
      <c r="D1715" s="26" t="str">
        <f>IFERROR(__xludf.DUMMYFUNCTION("""COMPUTED_VALUE"""),"Texas")</f>
        <v>Texas</v>
      </c>
      <c r="E1715" s="26" t="str">
        <f>IFERROR(__xludf.DUMMYFUNCTION("""COMPUTED_VALUE"""),"Central")</f>
        <v>Central</v>
      </c>
      <c r="F1715" s="26">
        <f>IFERROR(__xludf.DUMMYFUNCTION("""COMPUTED_VALUE"""),18.84)</f>
        <v>18.84</v>
      </c>
      <c r="G1715" s="26">
        <f>IFERROR(__xludf.DUMMYFUNCTION("""COMPUTED_VALUE"""),5.0)</f>
        <v>5</v>
      </c>
      <c r="H1715" s="26">
        <f>IFERROR(__xludf.DUMMYFUNCTION("""COMPUTED_VALUE"""),-3.5325)</f>
        <v>-3.5325</v>
      </c>
    </row>
    <row r="1716">
      <c r="A1716" s="26" t="str">
        <f>IFERROR(__xludf.DUMMYFUNCTION("""COMPUTED_VALUE"""),"CA-2014-103800")</f>
        <v>CA-2014-103800</v>
      </c>
      <c r="B1716" s="27">
        <f>IFERROR(__xludf.DUMMYFUNCTION("""COMPUTED_VALUE"""),41642.0)</f>
        <v>41642</v>
      </c>
      <c r="C1716" s="26" t="str">
        <f>IFERROR(__xludf.DUMMYFUNCTION("""COMPUTED_VALUE"""),"Consumer")</f>
        <v>Consumer</v>
      </c>
      <c r="D1716" s="26" t="str">
        <f>IFERROR(__xludf.DUMMYFUNCTION("""COMPUTED_VALUE"""),"Texas")</f>
        <v>Texas</v>
      </c>
      <c r="E1716" s="26" t="str">
        <f>IFERROR(__xludf.DUMMYFUNCTION("""COMPUTED_VALUE"""),"Central")</f>
        <v>Central</v>
      </c>
      <c r="F1716" s="26">
        <f>IFERROR(__xludf.DUMMYFUNCTION("""COMPUTED_VALUE"""),16.448)</f>
        <v>16.448</v>
      </c>
      <c r="G1716" s="26">
        <f>IFERROR(__xludf.DUMMYFUNCTION("""COMPUTED_VALUE"""),2.0)</f>
        <v>2</v>
      </c>
      <c r="H1716" s="26">
        <f>IFERROR(__xludf.DUMMYFUNCTION("""COMPUTED_VALUE"""),5.5512)</f>
        <v>5.5512</v>
      </c>
    </row>
    <row r="1717">
      <c r="A1717" s="26" t="str">
        <f>IFERROR(__xludf.DUMMYFUNCTION("""COMPUTED_VALUE"""),"CA-2014-129189")</f>
        <v>CA-2014-129189</v>
      </c>
      <c r="B1717" s="27">
        <f>IFERROR(__xludf.DUMMYFUNCTION("""COMPUTED_VALUE"""),41841.0)</f>
        <v>41841</v>
      </c>
      <c r="C1717" s="26" t="str">
        <f>IFERROR(__xludf.DUMMYFUNCTION("""COMPUTED_VALUE"""),"Corporate")</f>
        <v>Corporate</v>
      </c>
      <c r="D1717" s="26" t="str">
        <f>IFERROR(__xludf.DUMMYFUNCTION("""COMPUTED_VALUE"""),"Texas")</f>
        <v>Texas</v>
      </c>
      <c r="E1717" s="26" t="str">
        <f>IFERROR(__xludf.DUMMYFUNCTION("""COMPUTED_VALUE"""),"Central")</f>
        <v>Central</v>
      </c>
      <c r="F1717" s="26">
        <f>IFERROR(__xludf.DUMMYFUNCTION("""COMPUTED_VALUE"""),4.992)</f>
        <v>4.992</v>
      </c>
      <c r="G1717" s="26">
        <f>IFERROR(__xludf.DUMMYFUNCTION("""COMPUTED_VALUE"""),3.0)</f>
        <v>3</v>
      </c>
      <c r="H1717" s="26">
        <f>IFERROR(__xludf.DUMMYFUNCTION("""COMPUTED_VALUE"""),-12.9792)</f>
        <v>-12.9792</v>
      </c>
    </row>
    <row r="1718">
      <c r="A1718" s="26" t="str">
        <f>IFERROR(__xludf.DUMMYFUNCTION("""COMPUTED_VALUE"""),"US-2014-112949")</f>
        <v>US-2014-112949</v>
      </c>
      <c r="B1718" s="27">
        <f>IFERROR(__xludf.DUMMYFUNCTION("""COMPUTED_VALUE"""),41810.0)</f>
        <v>41810</v>
      </c>
      <c r="C1718" s="26" t="str">
        <f>IFERROR(__xludf.DUMMYFUNCTION("""COMPUTED_VALUE"""),"Consumer")</f>
        <v>Consumer</v>
      </c>
      <c r="D1718" s="26" t="str">
        <f>IFERROR(__xludf.DUMMYFUNCTION("""COMPUTED_VALUE"""),"Oklahoma")</f>
        <v>Oklahoma</v>
      </c>
      <c r="E1718" s="26" t="str">
        <f>IFERROR(__xludf.DUMMYFUNCTION("""COMPUTED_VALUE"""),"Central")</f>
        <v>Central</v>
      </c>
      <c r="F1718" s="26">
        <f>IFERROR(__xludf.DUMMYFUNCTION("""COMPUTED_VALUE"""),471.9)</f>
        <v>471.9</v>
      </c>
      <c r="G1718" s="26">
        <f>IFERROR(__xludf.DUMMYFUNCTION("""COMPUTED_VALUE"""),6.0)</f>
        <v>6</v>
      </c>
      <c r="H1718" s="26">
        <f>IFERROR(__xludf.DUMMYFUNCTION("""COMPUTED_VALUE"""),155.727)</f>
        <v>155.727</v>
      </c>
    </row>
    <row r="1719">
      <c r="A1719" s="26" t="str">
        <f>IFERROR(__xludf.DUMMYFUNCTION("""COMPUTED_VALUE"""),"CA-2014-167997")</f>
        <v>CA-2014-167997</v>
      </c>
      <c r="B1719" s="27">
        <f>IFERROR(__xludf.DUMMYFUNCTION("""COMPUTED_VALUE"""),41665.0)</f>
        <v>41665</v>
      </c>
      <c r="C1719" s="26" t="str">
        <f>IFERROR(__xludf.DUMMYFUNCTION("""COMPUTED_VALUE"""),"Corporate")</f>
        <v>Corporate</v>
      </c>
      <c r="D1719" s="26" t="str">
        <f>IFERROR(__xludf.DUMMYFUNCTION("""COMPUTED_VALUE"""),"South Dakota")</f>
        <v>South Dakota</v>
      </c>
      <c r="E1719" s="26" t="str">
        <f>IFERROR(__xludf.DUMMYFUNCTION("""COMPUTED_VALUE"""),"Central")</f>
        <v>Central</v>
      </c>
      <c r="F1719" s="26">
        <f>IFERROR(__xludf.DUMMYFUNCTION("""COMPUTED_VALUE"""),10.68)</f>
        <v>10.68</v>
      </c>
      <c r="G1719" s="26">
        <f>IFERROR(__xludf.DUMMYFUNCTION("""COMPUTED_VALUE"""),2.0)</f>
        <v>2</v>
      </c>
      <c r="H1719" s="26">
        <f>IFERROR(__xludf.DUMMYFUNCTION("""COMPUTED_VALUE"""),5.0196)</f>
        <v>5.0196</v>
      </c>
    </row>
    <row r="1720">
      <c r="A1720" s="26" t="str">
        <f>IFERROR(__xludf.DUMMYFUNCTION("""COMPUTED_VALUE"""),"CA-2014-120775")</f>
        <v>CA-2014-120775</v>
      </c>
      <c r="B1720" s="27">
        <f>IFERROR(__xludf.DUMMYFUNCTION("""COMPUTED_VALUE"""),41915.0)</f>
        <v>41915</v>
      </c>
      <c r="C1720" s="26" t="str">
        <f>IFERROR(__xludf.DUMMYFUNCTION("""COMPUTED_VALUE"""),"Consumer")</f>
        <v>Consumer</v>
      </c>
      <c r="D1720" s="26" t="str">
        <f>IFERROR(__xludf.DUMMYFUNCTION("""COMPUTED_VALUE"""),"Texas")</f>
        <v>Texas</v>
      </c>
      <c r="E1720" s="26" t="str">
        <f>IFERROR(__xludf.DUMMYFUNCTION("""COMPUTED_VALUE"""),"Central")</f>
        <v>Central</v>
      </c>
      <c r="F1720" s="26">
        <f>IFERROR(__xludf.DUMMYFUNCTION("""COMPUTED_VALUE"""),4.344)</f>
        <v>4.344</v>
      </c>
      <c r="G1720" s="26">
        <f>IFERROR(__xludf.DUMMYFUNCTION("""COMPUTED_VALUE"""),3.0)</f>
        <v>3</v>
      </c>
      <c r="H1720" s="26">
        <f>IFERROR(__xludf.DUMMYFUNCTION("""COMPUTED_VALUE"""),0.8688)</f>
        <v>0.8688</v>
      </c>
    </row>
    <row r="1721">
      <c r="A1721" s="26" t="str">
        <f>IFERROR(__xludf.DUMMYFUNCTION("""COMPUTED_VALUE"""),"CA-2014-152905")</f>
        <v>CA-2014-152905</v>
      </c>
      <c r="B1721" s="27">
        <f>IFERROR(__xludf.DUMMYFUNCTION("""COMPUTED_VALUE"""),41688.0)</f>
        <v>41688</v>
      </c>
      <c r="C1721" s="26" t="str">
        <f>IFERROR(__xludf.DUMMYFUNCTION("""COMPUTED_VALUE"""),"Consumer")</f>
        <v>Consumer</v>
      </c>
      <c r="D1721" s="26" t="str">
        <f>IFERROR(__xludf.DUMMYFUNCTION("""COMPUTED_VALUE"""),"Texas")</f>
        <v>Texas</v>
      </c>
      <c r="E1721" s="26" t="str">
        <f>IFERROR(__xludf.DUMMYFUNCTION("""COMPUTED_VALUE"""),"Central")</f>
        <v>Central</v>
      </c>
      <c r="F1721" s="26">
        <f>IFERROR(__xludf.DUMMYFUNCTION("""COMPUTED_VALUE"""),12.624)</f>
        <v>12.624</v>
      </c>
      <c r="G1721" s="26">
        <f>IFERROR(__xludf.DUMMYFUNCTION("""COMPUTED_VALUE"""),2.0)</f>
        <v>2</v>
      </c>
      <c r="H1721" s="26">
        <f>IFERROR(__xludf.DUMMYFUNCTION("""COMPUTED_VALUE"""),-2.5248)</f>
        <v>-2.5248</v>
      </c>
    </row>
    <row r="1722">
      <c r="A1722" s="26" t="str">
        <f>IFERROR(__xludf.DUMMYFUNCTION("""COMPUTED_VALUE"""),"CA-2014-168312")</f>
        <v>CA-2014-168312</v>
      </c>
      <c r="B1722" s="27">
        <f>IFERROR(__xludf.DUMMYFUNCTION("""COMPUTED_VALUE"""),41699.0)</f>
        <v>41699</v>
      </c>
      <c r="C1722" s="26" t="str">
        <f>IFERROR(__xludf.DUMMYFUNCTION("""COMPUTED_VALUE"""),"Consumer")</f>
        <v>Consumer</v>
      </c>
      <c r="D1722" s="26" t="str">
        <f>IFERROR(__xludf.DUMMYFUNCTION("""COMPUTED_VALUE"""),"Texas")</f>
        <v>Texas</v>
      </c>
      <c r="E1722" s="26" t="str">
        <f>IFERROR(__xludf.DUMMYFUNCTION("""COMPUTED_VALUE"""),"Central")</f>
        <v>Central</v>
      </c>
      <c r="F1722" s="26">
        <f>IFERROR(__xludf.DUMMYFUNCTION("""COMPUTED_VALUE"""),137.352)</f>
        <v>137.352</v>
      </c>
      <c r="G1722" s="26">
        <f>IFERROR(__xludf.DUMMYFUNCTION("""COMPUTED_VALUE"""),3.0)</f>
        <v>3</v>
      </c>
      <c r="H1722" s="26">
        <f>IFERROR(__xludf.DUMMYFUNCTION("""COMPUTED_VALUE"""),8.5845)</f>
        <v>8.5845</v>
      </c>
    </row>
    <row r="1723">
      <c r="A1723" s="26" t="str">
        <f>IFERROR(__xludf.DUMMYFUNCTION("""COMPUTED_VALUE"""),"CA-2014-161508")</f>
        <v>CA-2014-161508</v>
      </c>
      <c r="B1723" s="27">
        <f>IFERROR(__xludf.DUMMYFUNCTION("""COMPUTED_VALUE"""),41832.0)</f>
        <v>41832</v>
      </c>
      <c r="C1723" s="26" t="str">
        <f>IFERROR(__xludf.DUMMYFUNCTION("""COMPUTED_VALUE"""),"Home Office")</f>
        <v>Home Office</v>
      </c>
      <c r="D1723" s="26" t="str">
        <f>IFERROR(__xludf.DUMMYFUNCTION("""COMPUTED_VALUE"""),"Texas")</f>
        <v>Texas</v>
      </c>
      <c r="E1723" s="26" t="str">
        <f>IFERROR(__xludf.DUMMYFUNCTION("""COMPUTED_VALUE"""),"Central")</f>
        <v>Central</v>
      </c>
      <c r="F1723" s="26">
        <f>IFERROR(__xludf.DUMMYFUNCTION("""COMPUTED_VALUE"""),512.358)</f>
        <v>512.358</v>
      </c>
      <c r="G1723" s="26">
        <f>IFERROR(__xludf.DUMMYFUNCTION("""COMPUTED_VALUE"""),3.0)</f>
        <v>3</v>
      </c>
      <c r="H1723" s="26">
        <f>IFERROR(__xludf.DUMMYFUNCTION("""COMPUTED_VALUE"""),-14.6388)</f>
        <v>-14.6388</v>
      </c>
    </row>
    <row r="1724">
      <c r="A1724" s="26" t="str">
        <f>IFERROR(__xludf.DUMMYFUNCTION("""COMPUTED_VALUE"""),"CA-2014-165393")</f>
        <v>CA-2014-165393</v>
      </c>
      <c r="B1724" s="29">
        <f>IFERROR(__xludf.DUMMYFUNCTION("""COMPUTED_VALUE"""),42000.0)</f>
        <v>42000</v>
      </c>
      <c r="C1724" s="26" t="str">
        <f>IFERROR(__xludf.DUMMYFUNCTION("""COMPUTED_VALUE"""),"Consumer")</f>
        <v>Consumer</v>
      </c>
      <c r="D1724" s="26" t="str">
        <f>IFERROR(__xludf.DUMMYFUNCTION("""COMPUTED_VALUE"""),"Texas")</f>
        <v>Texas</v>
      </c>
      <c r="E1724" s="26" t="str">
        <f>IFERROR(__xludf.DUMMYFUNCTION("""COMPUTED_VALUE"""),"Central")</f>
        <v>Central</v>
      </c>
      <c r="F1724" s="26">
        <f>IFERROR(__xludf.DUMMYFUNCTION("""COMPUTED_VALUE"""),4.984)</f>
        <v>4.984</v>
      </c>
      <c r="G1724" s="26">
        <f>IFERROR(__xludf.DUMMYFUNCTION("""COMPUTED_VALUE"""),1.0)</f>
        <v>1</v>
      </c>
      <c r="H1724" s="26">
        <f>IFERROR(__xludf.DUMMYFUNCTION("""COMPUTED_VALUE"""),-8.4728)</f>
        <v>-8.4728</v>
      </c>
    </row>
    <row r="1725">
      <c r="A1725" s="26" t="str">
        <f>IFERROR(__xludf.DUMMYFUNCTION("""COMPUTED_VALUE"""),"CA-2014-103527")</f>
        <v>CA-2014-103527</v>
      </c>
      <c r="B1725" s="27">
        <f>IFERROR(__xludf.DUMMYFUNCTION("""COMPUTED_VALUE"""),41891.0)</f>
        <v>41891</v>
      </c>
      <c r="C1725" s="26" t="str">
        <f>IFERROR(__xludf.DUMMYFUNCTION("""COMPUTED_VALUE"""),"Consumer")</f>
        <v>Consumer</v>
      </c>
      <c r="D1725" s="26" t="str">
        <f>IFERROR(__xludf.DUMMYFUNCTION("""COMPUTED_VALUE"""),"Illinois")</f>
        <v>Illinois</v>
      </c>
      <c r="E1725" s="26" t="str">
        <f>IFERROR(__xludf.DUMMYFUNCTION("""COMPUTED_VALUE"""),"Central")</f>
        <v>Central</v>
      </c>
      <c r="F1725" s="26">
        <f>IFERROR(__xludf.DUMMYFUNCTION("""COMPUTED_VALUE"""),10.896)</f>
        <v>10.896</v>
      </c>
      <c r="G1725" s="26">
        <f>IFERROR(__xludf.DUMMYFUNCTION("""COMPUTED_VALUE"""),3.0)</f>
        <v>3</v>
      </c>
      <c r="H1725" s="26">
        <f>IFERROR(__xludf.DUMMYFUNCTION("""COMPUTED_VALUE"""),3.405)</f>
        <v>3.405</v>
      </c>
    </row>
    <row r="1726">
      <c r="A1726" s="26" t="str">
        <f>IFERROR(__xludf.DUMMYFUNCTION("""COMPUTED_VALUE"""),"US-2014-120236")</f>
        <v>US-2014-120236</v>
      </c>
      <c r="B1726" s="27">
        <f>IFERROR(__xludf.DUMMYFUNCTION("""COMPUTED_VALUE"""),41885.0)</f>
        <v>41885</v>
      </c>
      <c r="C1726" s="26" t="str">
        <f>IFERROR(__xludf.DUMMYFUNCTION("""COMPUTED_VALUE"""),"Home Office")</f>
        <v>Home Office</v>
      </c>
      <c r="D1726" s="26" t="str">
        <f>IFERROR(__xludf.DUMMYFUNCTION("""COMPUTED_VALUE"""),"Texas")</f>
        <v>Texas</v>
      </c>
      <c r="E1726" s="26" t="str">
        <f>IFERROR(__xludf.DUMMYFUNCTION("""COMPUTED_VALUE"""),"Central")</f>
        <v>Central</v>
      </c>
      <c r="F1726" s="26">
        <f>IFERROR(__xludf.DUMMYFUNCTION("""COMPUTED_VALUE"""),7.68)</f>
        <v>7.68</v>
      </c>
      <c r="G1726" s="26">
        <f>IFERROR(__xludf.DUMMYFUNCTION("""COMPUTED_VALUE"""),5.0)</f>
        <v>5</v>
      </c>
      <c r="H1726" s="26">
        <f>IFERROR(__xludf.DUMMYFUNCTION("""COMPUTED_VALUE"""),-11.52)</f>
        <v>-11.52</v>
      </c>
    </row>
    <row r="1727">
      <c r="A1727" s="26" t="str">
        <f>IFERROR(__xludf.DUMMYFUNCTION("""COMPUTED_VALUE"""),"US-2014-113124")</f>
        <v>US-2014-113124</v>
      </c>
      <c r="B1727" s="27">
        <f>IFERROR(__xludf.DUMMYFUNCTION("""COMPUTED_VALUE"""),41728.0)</f>
        <v>41728</v>
      </c>
      <c r="C1727" s="26" t="str">
        <f>IFERROR(__xludf.DUMMYFUNCTION("""COMPUTED_VALUE"""),"Consumer")</f>
        <v>Consumer</v>
      </c>
      <c r="D1727" s="26" t="str">
        <f>IFERROR(__xludf.DUMMYFUNCTION("""COMPUTED_VALUE"""),"Minnesota")</f>
        <v>Minnesota</v>
      </c>
      <c r="E1727" s="26" t="str">
        <f>IFERROR(__xludf.DUMMYFUNCTION("""COMPUTED_VALUE"""),"Central")</f>
        <v>Central</v>
      </c>
      <c r="F1727" s="26">
        <f>IFERROR(__xludf.DUMMYFUNCTION("""COMPUTED_VALUE"""),129.3)</f>
        <v>129.3</v>
      </c>
      <c r="G1727" s="26">
        <f>IFERROR(__xludf.DUMMYFUNCTION("""COMPUTED_VALUE"""),2.0)</f>
        <v>2</v>
      </c>
      <c r="H1727" s="26">
        <f>IFERROR(__xludf.DUMMYFUNCTION("""COMPUTED_VALUE"""),6.465)</f>
        <v>6.465</v>
      </c>
    </row>
    <row r="1728">
      <c r="A1728" s="26" t="str">
        <f>IFERROR(__xludf.DUMMYFUNCTION("""COMPUTED_VALUE"""),"US-2014-127635")</f>
        <v>US-2014-127635</v>
      </c>
      <c r="B1728" s="27">
        <f>IFERROR(__xludf.DUMMYFUNCTION("""COMPUTED_VALUE"""),41896.0)</f>
        <v>41896</v>
      </c>
      <c r="C1728" s="26" t="str">
        <f>IFERROR(__xludf.DUMMYFUNCTION("""COMPUTED_VALUE"""),"Corporate")</f>
        <v>Corporate</v>
      </c>
      <c r="D1728" s="26" t="str">
        <f>IFERROR(__xludf.DUMMYFUNCTION("""COMPUTED_VALUE"""),"Texas")</f>
        <v>Texas</v>
      </c>
      <c r="E1728" s="26" t="str">
        <f>IFERROR(__xludf.DUMMYFUNCTION("""COMPUTED_VALUE"""),"Central")</f>
        <v>Central</v>
      </c>
      <c r="F1728" s="26">
        <f>IFERROR(__xludf.DUMMYFUNCTION("""COMPUTED_VALUE"""),6.048)</f>
        <v>6.048</v>
      </c>
      <c r="G1728" s="26">
        <f>IFERROR(__xludf.DUMMYFUNCTION("""COMPUTED_VALUE"""),4.0)</f>
        <v>4</v>
      </c>
      <c r="H1728" s="26">
        <f>IFERROR(__xludf.DUMMYFUNCTION("""COMPUTED_VALUE"""),-1.3608)</f>
        <v>-1.3608</v>
      </c>
    </row>
    <row r="1729">
      <c r="A1729" s="26" t="str">
        <f>IFERROR(__xludf.DUMMYFUNCTION("""COMPUTED_VALUE"""),"CA-2014-126200")</f>
        <v>CA-2014-126200</v>
      </c>
      <c r="B1729" s="27">
        <f>IFERROR(__xludf.DUMMYFUNCTION("""COMPUTED_VALUE"""),41876.0)</f>
        <v>41876</v>
      </c>
      <c r="C1729" s="26" t="str">
        <f>IFERROR(__xludf.DUMMYFUNCTION("""COMPUTED_VALUE"""),"Consumer")</f>
        <v>Consumer</v>
      </c>
      <c r="D1729" s="26" t="str">
        <f>IFERROR(__xludf.DUMMYFUNCTION("""COMPUTED_VALUE"""),"Texas")</f>
        <v>Texas</v>
      </c>
      <c r="E1729" s="26" t="str">
        <f>IFERROR(__xludf.DUMMYFUNCTION("""COMPUTED_VALUE"""),"Central")</f>
        <v>Central</v>
      </c>
      <c r="F1729" s="26">
        <f>IFERROR(__xludf.DUMMYFUNCTION("""COMPUTED_VALUE"""),25.68)</f>
        <v>25.68</v>
      </c>
      <c r="G1729" s="26">
        <f>IFERROR(__xludf.DUMMYFUNCTION("""COMPUTED_VALUE"""),3.0)</f>
        <v>3</v>
      </c>
      <c r="H1729" s="26">
        <f>IFERROR(__xludf.DUMMYFUNCTION("""COMPUTED_VALUE"""),-39.804)</f>
        <v>-39.804</v>
      </c>
    </row>
    <row r="1730">
      <c r="A1730" s="26" t="str">
        <f>IFERROR(__xludf.DUMMYFUNCTION("""COMPUTED_VALUE"""),"CA-2014-109890")</f>
        <v>CA-2014-109890</v>
      </c>
      <c r="B1730" s="27">
        <f>IFERROR(__xludf.DUMMYFUNCTION("""COMPUTED_VALUE"""),41841.0)</f>
        <v>41841</v>
      </c>
      <c r="C1730" s="26" t="str">
        <f>IFERROR(__xludf.DUMMYFUNCTION("""COMPUTED_VALUE"""),"Consumer")</f>
        <v>Consumer</v>
      </c>
      <c r="D1730" s="26" t="str">
        <f>IFERROR(__xludf.DUMMYFUNCTION("""COMPUTED_VALUE"""),"Nebraska")</f>
        <v>Nebraska</v>
      </c>
      <c r="E1730" s="26" t="str">
        <f>IFERROR(__xludf.DUMMYFUNCTION("""COMPUTED_VALUE"""),"Central")</f>
        <v>Central</v>
      </c>
      <c r="F1730" s="26">
        <f>IFERROR(__xludf.DUMMYFUNCTION("""COMPUTED_VALUE"""),35.98)</f>
        <v>35.98</v>
      </c>
      <c r="G1730" s="26">
        <f>IFERROR(__xludf.DUMMYFUNCTION("""COMPUTED_VALUE"""),2.0)</f>
        <v>2</v>
      </c>
      <c r="H1730" s="26">
        <f>IFERROR(__xludf.DUMMYFUNCTION("""COMPUTED_VALUE"""),10.0744)</f>
        <v>10.0744</v>
      </c>
    </row>
    <row r="1731">
      <c r="A1731" s="26" t="str">
        <f>IFERROR(__xludf.DUMMYFUNCTION("""COMPUTED_VALUE"""),"CA-2014-140473")</f>
        <v>CA-2014-140473</v>
      </c>
      <c r="B1731" s="27">
        <f>IFERROR(__xludf.DUMMYFUNCTION("""COMPUTED_VALUE"""),41789.0)</f>
        <v>41789</v>
      </c>
      <c r="C1731" s="26" t="str">
        <f>IFERROR(__xludf.DUMMYFUNCTION("""COMPUTED_VALUE"""),"Corporate")</f>
        <v>Corporate</v>
      </c>
      <c r="D1731" s="26" t="str">
        <f>IFERROR(__xludf.DUMMYFUNCTION("""COMPUTED_VALUE"""),"Illinois")</f>
        <v>Illinois</v>
      </c>
      <c r="E1731" s="26" t="str">
        <f>IFERROR(__xludf.DUMMYFUNCTION("""COMPUTED_VALUE"""),"Central")</f>
        <v>Central</v>
      </c>
      <c r="F1731" s="26">
        <f>IFERROR(__xludf.DUMMYFUNCTION("""COMPUTED_VALUE"""),719.976)</f>
        <v>719.976</v>
      </c>
      <c r="G1731" s="26">
        <f>IFERROR(__xludf.DUMMYFUNCTION("""COMPUTED_VALUE"""),3.0)</f>
        <v>3</v>
      </c>
      <c r="H1731" s="26">
        <f>IFERROR(__xludf.DUMMYFUNCTION("""COMPUTED_VALUE"""),134.9955)</f>
        <v>134.9955</v>
      </c>
    </row>
    <row r="1732">
      <c r="A1732" s="26" t="str">
        <f>IFERROR(__xludf.DUMMYFUNCTION("""COMPUTED_VALUE"""),"CA-2014-121629")</f>
        <v>CA-2014-121629</v>
      </c>
      <c r="B1732" s="29">
        <f>IFERROR(__xludf.DUMMYFUNCTION("""COMPUTED_VALUE"""),41971.0)</f>
        <v>41971</v>
      </c>
      <c r="C1732" s="26" t="str">
        <f>IFERROR(__xludf.DUMMYFUNCTION("""COMPUTED_VALUE"""),"Consumer")</f>
        <v>Consumer</v>
      </c>
      <c r="D1732" s="26" t="str">
        <f>IFERROR(__xludf.DUMMYFUNCTION("""COMPUTED_VALUE"""),"Texas")</f>
        <v>Texas</v>
      </c>
      <c r="E1732" s="26" t="str">
        <f>IFERROR(__xludf.DUMMYFUNCTION("""COMPUTED_VALUE"""),"Central")</f>
        <v>Central</v>
      </c>
      <c r="F1732" s="26">
        <f>IFERROR(__xludf.DUMMYFUNCTION("""COMPUTED_VALUE"""),998.85)</f>
        <v>998.85</v>
      </c>
      <c r="G1732" s="26">
        <f>IFERROR(__xludf.DUMMYFUNCTION("""COMPUTED_VALUE"""),5.0)</f>
        <v>5</v>
      </c>
      <c r="H1732" s="26">
        <f>IFERROR(__xludf.DUMMYFUNCTION("""COMPUTED_VALUE"""),-199.77)</f>
        <v>-199.77</v>
      </c>
    </row>
    <row r="1733">
      <c r="A1733" s="26" t="str">
        <f>IFERROR(__xludf.DUMMYFUNCTION("""COMPUTED_VALUE"""),"CA-2014-130673")</f>
        <v>CA-2014-130673</v>
      </c>
      <c r="B1733" s="27">
        <f>IFERROR(__xludf.DUMMYFUNCTION("""COMPUTED_VALUE"""),41779.0)</f>
        <v>41779</v>
      </c>
      <c r="C1733" s="26" t="str">
        <f>IFERROR(__xludf.DUMMYFUNCTION("""COMPUTED_VALUE"""),"Corporate")</f>
        <v>Corporate</v>
      </c>
      <c r="D1733" s="26" t="str">
        <f>IFERROR(__xludf.DUMMYFUNCTION("""COMPUTED_VALUE"""),"Texas")</f>
        <v>Texas</v>
      </c>
      <c r="E1733" s="26" t="str">
        <f>IFERROR(__xludf.DUMMYFUNCTION("""COMPUTED_VALUE"""),"Central")</f>
        <v>Central</v>
      </c>
      <c r="F1733" s="26">
        <f>IFERROR(__xludf.DUMMYFUNCTION("""COMPUTED_VALUE"""),10.332)</f>
        <v>10.332</v>
      </c>
      <c r="G1733" s="26">
        <f>IFERROR(__xludf.DUMMYFUNCTION("""COMPUTED_VALUE"""),3.0)</f>
        <v>3</v>
      </c>
      <c r="H1733" s="26">
        <f>IFERROR(__xludf.DUMMYFUNCTION("""COMPUTED_VALUE"""),-5.9409)</f>
        <v>-5.9409</v>
      </c>
    </row>
    <row r="1734">
      <c r="A1734" s="26" t="str">
        <f>IFERROR(__xludf.DUMMYFUNCTION("""COMPUTED_VALUE"""),"US-2014-112795")</f>
        <v>US-2014-112795</v>
      </c>
      <c r="B1734" s="27">
        <f>IFERROR(__xludf.DUMMYFUNCTION("""COMPUTED_VALUE"""),41874.0)</f>
        <v>41874</v>
      </c>
      <c r="C1734" s="26" t="str">
        <f>IFERROR(__xludf.DUMMYFUNCTION("""COMPUTED_VALUE"""),"Home Office")</f>
        <v>Home Office</v>
      </c>
      <c r="D1734" s="26" t="str">
        <f>IFERROR(__xludf.DUMMYFUNCTION("""COMPUTED_VALUE"""),"Michigan")</f>
        <v>Michigan</v>
      </c>
      <c r="E1734" s="26" t="str">
        <f>IFERROR(__xludf.DUMMYFUNCTION("""COMPUTED_VALUE"""),"Central")</f>
        <v>Central</v>
      </c>
      <c r="F1734" s="26">
        <f>IFERROR(__xludf.DUMMYFUNCTION("""COMPUTED_VALUE"""),19.44)</f>
        <v>19.44</v>
      </c>
      <c r="G1734" s="26">
        <f>IFERROR(__xludf.DUMMYFUNCTION("""COMPUTED_VALUE"""),3.0)</f>
        <v>3</v>
      </c>
      <c r="H1734" s="26">
        <f>IFERROR(__xludf.DUMMYFUNCTION("""COMPUTED_VALUE"""),9.5256)</f>
        <v>9.5256</v>
      </c>
    </row>
    <row r="1735">
      <c r="A1735" s="26" t="str">
        <f>IFERROR(__xludf.DUMMYFUNCTION("""COMPUTED_VALUE"""),"US-2014-157847")</f>
        <v>US-2014-157847</v>
      </c>
      <c r="B1735" s="27">
        <f>IFERROR(__xludf.DUMMYFUNCTION("""COMPUTED_VALUE"""),41731.0)</f>
        <v>41731</v>
      </c>
      <c r="C1735" s="26" t="str">
        <f>IFERROR(__xludf.DUMMYFUNCTION("""COMPUTED_VALUE"""),"Consumer")</f>
        <v>Consumer</v>
      </c>
      <c r="D1735" s="26" t="str">
        <f>IFERROR(__xludf.DUMMYFUNCTION("""COMPUTED_VALUE"""),"Texas")</f>
        <v>Texas</v>
      </c>
      <c r="E1735" s="26" t="str">
        <f>IFERROR(__xludf.DUMMYFUNCTION("""COMPUTED_VALUE"""),"Central")</f>
        <v>Central</v>
      </c>
      <c r="F1735" s="26">
        <f>IFERROR(__xludf.DUMMYFUNCTION("""COMPUTED_VALUE"""),26.72)</f>
        <v>26.72</v>
      </c>
      <c r="G1735" s="26">
        <f>IFERROR(__xludf.DUMMYFUNCTION("""COMPUTED_VALUE"""),5.0)</f>
        <v>5</v>
      </c>
      <c r="H1735" s="26">
        <f>IFERROR(__xludf.DUMMYFUNCTION("""COMPUTED_VALUE"""),9.352)</f>
        <v>9.352</v>
      </c>
    </row>
    <row r="1736">
      <c r="A1736" s="26" t="str">
        <f>IFERROR(__xludf.DUMMYFUNCTION("""COMPUTED_VALUE"""),"CA-2014-109680")</f>
        <v>CA-2014-109680</v>
      </c>
      <c r="B1736" s="27">
        <f>IFERROR(__xludf.DUMMYFUNCTION("""COMPUTED_VALUE"""),41918.0)</f>
        <v>41918</v>
      </c>
      <c r="C1736" s="26" t="str">
        <f>IFERROR(__xludf.DUMMYFUNCTION("""COMPUTED_VALUE"""),"Corporate")</f>
        <v>Corporate</v>
      </c>
      <c r="D1736" s="26" t="str">
        <f>IFERROR(__xludf.DUMMYFUNCTION("""COMPUTED_VALUE"""),"Indiana")</f>
        <v>Indiana</v>
      </c>
      <c r="E1736" s="26" t="str">
        <f>IFERROR(__xludf.DUMMYFUNCTION("""COMPUTED_VALUE"""),"Central")</f>
        <v>Central</v>
      </c>
      <c r="F1736" s="26">
        <f>IFERROR(__xludf.DUMMYFUNCTION("""COMPUTED_VALUE"""),386.34)</f>
        <v>386.34</v>
      </c>
      <c r="G1736" s="26">
        <f>IFERROR(__xludf.DUMMYFUNCTION("""COMPUTED_VALUE"""),2.0)</f>
        <v>2</v>
      </c>
      <c r="H1736" s="26">
        <f>IFERROR(__xludf.DUMMYFUNCTION("""COMPUTED_VALUE"""),54.0876)</f>
        <v>54.0876</v>
      </c>
    </row>
    <row r="1737">
      <c r="A1737" s="26" t="str">
        <f>IFERROR(__xludf.DUMMYFUNCTION("""COMPUTED_VALUE"""),"CA-2014-141173")</f>
        <v>CA-2014-141173</v>
      </c>
      <c r="B1737" s="29">
        <f>IFERROR(__xludf.DUMMYFUNCTION("""COMPUTED_VALUE"""),41961.0)</f>
        <v>41961</v>
      </c>
      <c r="C1737" s="26" t="str">
        <f>IFERROR(__xludf.DUMMYFUNCTION("""COMPUTED_VALUE"""),"Corporate")</f>
        <v>Corporate</v>
      </c>
      <c r="D1737" s="26" t="str">
        <f>IFERROR(__xludf.DUMMYFUNCTION("""COMPUTED_VALUE"""),"Minnesota")</f>
        <v>Minnesota</v>
      </c>
      <c r="E1737" s="26" t="str">
        <f>IFERROR(__xludf.DUMMYFUNCTION("""COMPUTED_VALUE"""),"Central")</f>
        <v>Central</v>
      </c>
      <c r="F1737" s="26">
        <f>IFERROR(__xludf.DUMMYFUNCTION("""COMPUTED_VALUE"""),67.15)</f>
        <v>67.15</v>
      </c>
      <c r="G1737" s="26">
        <f>IFERROR(__xludf.DUMMYFUNCTION("""COMPUTED_VALUE"""),5.0)</f>
        <v>5</v>
      </c>
      <c r="H1737" s="26">
        <f>IFERROR(__xludf.DUMMYFUNCTION("""COMPUTED_VALUE"""),16.7875)</f>
        <v>16.7875</v>
      </c>
    </row>
    <row r="1738">
      <c r="A1738" s="26" t="str">
        <f>IFERROR(__xludf.DUMMYFUNCTION("""COMPUTED_VALUE"""),"CA-2014-120411")</f>
        <v>CA-2014-120411</v>
      </c>
      <c r="B1738" s="27">
        <f>IFERROR(__xludf.DUMMYFUNCTION("""COMPUTED_VALUE"""),41902.0)</f>
        <v>41902</v>
      </c>
      <c r="C1738" s="26" t="str">
        <f>IFERROR(__xludf.DUMMYFUNCTION("""COMPUTED_VALUE"""),"Consumer")</f>
        <v>Consumer</v>
      </c>
      <c r="D1738" s="26" t="str">
        <f>IFERROR(__xludf.DUMMYFUNCTION("""COMPUTED_VALUE"""),"Illinois")</f>
        <v>Illinois</v>
      </c>
      <c r="E1738" s="26" t="str">
        <f>IFERROR(__xludf.DUMMYFUNCTION("""COMPUTED_VALUE"""),"Central")</f>
        <v>Central</v>
      </c>
      <c r="F1738" s="26">
        <f>IFERROR(__xludf.DUMMYFUNCTION("""COMPUTED_VALUE"""),493.43)</f>
        <v>493.43</v>
      </c>
      <c r="G1738" s="26">
        <f>IFERROR(__xludf.DUMMYFUNCTION("""COMPUTED_VALUE"""),5.0)</f>
        <v>5</v>
      </c>
      <c r="H1738" s="26">
        <f>IFERROR(__xludf.DUMMYFUNCTION("""COMPUTED_VALUE"""),-70.49)</f>
        <v>-70.49</v>
      </c>
    </row>
    <row r="1739">
      <c r="A1739" s="26" t="str">
        <f>IFERROR(__xludf.DUMMYFUNCTION("""COMPUTED_VALUE"""),"CA-2014-124723")</f>
        <v>CA-2014-124723</v>
      </c>
      <c r="B1739" s="27">
        <f>IFERROR(__xludf.DUMMYFUNCTION("""COMPUTED_VALUE"""),41856.0)</f>
        <v>41856</v>
      </c>
      <c r="C1739" s="26" t="str">
        <f>IFERROR(__xludf.DUMMYFUNCTION("""COMPUTED_VALUE"""),"Consumer")</f>
        <v>Consumer</v>
      </c>
      <c r="D1739" s="26" t="str">
        <f>IFERROR(__xludf.DUMMYFUNCTION("""COMPUTED_VALUE"""),"Texas")</f>
        <v>Texas</v>
      </c>
      <c r="E1739" s="26" t="str">
        <f>IFERROR(__xludf.DUMMYFUNCTION("""COMPUTED_VALUE"""),"Central")</f>
        <v>Central</v>
      </c>
      <c r="F1739" s="26">
        <f>IFERROR(__xludf.DUMMYFUNCTION("""COMPUTED_VALUE"""),489.23)</f>
        <v>489.23</v>
      </c>
      <c r="G1739" s="26">
        <f>IFERROR(__xludf.DUMMYFUNCTION("""COMPUTED_VALUE"""),2.0)</f>
        <v>2</v>
      </c>
      <c r="H1739" s="26">
        <f>IFERROR(__xludf.DUMMYFUNCTION("""COMPUTED_VALUE"""),41.934)</f>
        <v>41.934</v>
      </c>
    </row>
    <row r="1740">
      <c r="A1740" s="26" t="str">
        <f>IFERROR(__xludf.DUMMYFUNCTION("""COMPUTED_VALUE"""),"CA-2014-108182")</f>
        <v>CA-2014-108182</v>
      </c>
      <c r="B1740" s="27">
        <f>IFERROR(__xludf.DUMMYFUNCTION("""COMPUTED_VALUE"""),41676.0)</f>
        <v>41676</v>
      </c>
      <c r="C1740" s="26" t="str">
        <f>IFERROR(__xludf.DUMMYFUNCTION("""COMPUTED_VALUE"""),"Consumer")</f>
        <v>Consumer</v>
      </c>
      <c r="D1740" s="26" t="str">
        <f>IFERROR(__xludf.DUMMYFUNCTION("""COMPUTED_VALUE"""),"Illinois")</f>
        <v>Illinois</v>
      </c>
      <c r="E1740" s="26" t="str">
        <f>IFERROR(__xludf.DUMMYFUNCTION("""COMPUTED_VALUE"""),"Central")</f>
        <v>Central</v>
      </c>
      <c r="F1740" s="26">
        <f>IFERROR(__xludf.DUMMYFUNCTION("""COMPUTED_VALUE"""),8.952)</f>
        <v>8.952</v>
      </c>
      <c r="G1740" s="26">
        <f>IFERROR(__xludf.DUMMYFUNCTION("""COMPUTED_VALUE"""),2.0)</f>
        <v>2</v>
      </c>
      <c r="H1740" s="26">
        <f>IFERROR(__xludf.DUMMYFUNCTION("""COMPUTED_VALUE"""),-14.7708)</f>
        <v>-14.7708</v>
      </c>
    </row>
    <row r="1741">
      <c r="A1741" s="26" t="str">
        <f>IFERROR(__xludf.DUMMYFUNCTION("""COMPUTED_VALUE"""),"US-2014-151015")</f>
        <v>US-2014-151015</v>
      </c>
      <c r="B1741" s="29">
        <f>IFERROR(__xludf.DUMMYFUNCTION("""COMPUTED_VALUE"""),41926.0)</f>
        <v>41926</v>
      </c>
      <c r="C1741" s="26" t="str">
        <f>IFERROR(__xludf.DUMMYFUNCTION("""COMPUTED_VALUE"""),"Consumer")</f>
        <v>Consumer</v>
      </c>
      <c r="D1741" s="26" t="str">
        <f>IFERROR(__xludf.DUMMYFUNCTION("""COMPUTED_VALUE"""),"Illinois")</f>
        <v>Illinois</v>
      </c>
      <c r="E1741" s="26" t="str">
        <f>IFERROR(__xludf.DUMMYFUNCTION("""COMPUTED_VALUE"""),"Central")</f>
        <v>Central</v>
      </c>
      <c r="F1741" s="26">
        <f>IFERROR(__xludf.DUMMYFUNCTION("""COMPUTED_VALUE"""),322.192)</f>
        <v>322.192</v>
      </c>
      <c r="G1741" s="26">
        <f>IFERROR(__xludf.DUMMYFUNCTION("""COMPUTED_VALUE"""),13.0)</f>
        <v>13</v>
      </c>
      <c r="H1741" s="26">
        <f>IFERROR(__xludf.DUMMYFUNCTION("""COMPUTED_VALUE"""),100.685)</f>
        <v>100.685</v>
      </c>
    </row>
    <row r="1742">
      <c r="A1742" s="26" t="str">
        <f>IFERROR(__xludf.DUMMYFUNCTION("""COMPUTED_VALUE"""),"US-2014-124625")</f>
        <v>US-2014-124625</v>
      </c>
      <c r="B1742" s="27">
        <f>IFERROR(__xludf.DUMMYFUNCTION("""COMPUTED_VALUE"""),41946.0)</f>
        <v>41946</v>
      </c>
      <c r="C1742" s="26" t="str">
        <f>IFERROR(__xludf.DUMMYFUNCTION("""COMPUTED_VALUE"""),"Corporate")</f>
        <v>Corporate</v>
      </c>
      <c r="D1742" s="26" t="str">
        <f>IFERROR(__xludf.DUMMYFUNCTION("""COMPUTED_VALUE"""),"Nebraska")</f>
        <v>Nebraska</v>
      </c>
      <c r="E1742" s="26" t="str">
        <f>IFERROR(__xludf.DUMMYFUNCTION("""COMPUTED_VALUE"""),"Central")</f>
        <v>Central</v>
      </c>
      <c r="F1742" s="26">
        <f>IFERROR(__xludf.DUMMYFUNCTION("""COMPUTED_VALUE"""),89.97)</f>
        <v>89.97</v>
      </c>
      <c r="G1742" s="26">
        <f>IFERROR(__xludf.DUMMYFUNCTION("""COMPUTED_VALUE"""),3.0)</f>
        <v>3</v>
      </c>
      <c r="H1742" s="26">
        <f>IFERROR(__xludf.DUMMYFUNCTION("""COMPUTED_VALUE"""),18.8937)</f>
        <v>18.8937</v>
      </c>
    </row>
    <row r="1743">
      <c r="A1743" s="26" t="str">
        <f>IFERROR(__xludf.DUMMYFUNCTION("""COMPUTED_VALUE"""),"US-2014-158365")</f>
        <v>US-2014-158365</v>
      </c>
      <c r="B1743" s="27">
        <f>IFERROR(__xludf.DUMMYFUNCTION("""COMPUTED_VALUE"""),41741.0)</f>
        <v>41741</v>
      </c>
      <c r="C1743" s="26" t="str">
        <f>IFERROR(__xludf.DUMMYFUNCTION("""COMPUTED_VALUE"""),"Consumer")</f>
        <v>Consumer</v>
      </c>
      <c r="D1743" s="26" t="str">
        <f>IFERROR(__xludf.DUMMYFUNCTION("""COMPUTED_VALUE"""),"Indiana")</f>
        <v>Indiana</v>
      </c>
      <c r="E1743" s="26" t="str">
        <f>IFERROR(__xludf.DUMMYFUNCTION("""COMPUTED_VALUE"""),"Central")</f>
        <v>Central</v>
      </c>
      <c r="F1743" s="26">
        <f>IFERROR(__xludf.DUMMYFUNCTION("""COMPUTED_VALUE"""),32.4)</f>
        <v>32.4</v>
      </c>
      <c r="G1743" s="26">
        <f>IFERROR(__xludf.DUMMYFUNCTION("""COMPUTED_VALUE"""),5.0)</f>
        <v>5</v>
      </c>
      <c r="H1743" s="26">
        <f>IFERROR(__xludf.DUMMYFUNCTION("""COMPUTED_VALUE"""),15.552)</f>
        <v>15.552</v>
      </c>
    </row>
    <row r="1744">
      <c r="A1744" s="26" t="str">
        <f>IFERROR(__xludf.DUMMYFUNCTION("""COMPUTED_VALUE"""),"CA-2014-106971")</f>
        <v>CA-2014-106971</v>
      </c>
      <c r="B1744" s="27">
        <f>IFERROR(__xludf.DUMMYFUNCTION("""COMPUTED_VALUE"""),41884.0)</f>
        <v>41884</v>
      </c>
      <c r="C1744" s="26" t="str">
        <f>IFERROR(__xludf.DUMMYFUNCTION("""COMPUTED_VALUE"""),"Consumer")</f>
        <v>Consumer</v>
      </c>
      <c r="D1744" s="26" t="str">
        <f>IFERROR(__xludf.DUMMYFUNCTION("""COMPUTED_VALUE"""),"Illinois")</f>
        <v>Illinois</v>
      </c>
      <c r="E1744" s="26" t="str">
        <f>IFERROR(__xludf.DUMMYFUNCTION("""COMPUTED_VALUE"""),"Central")</f>
        <v>Central</v>
      </c>
      <c r="F1744" s="26">
        <f>IFERROR(__xludf.DUMMYFUNCTION("""COMPUTED_VALUE"""),475.944)</f>
        <v>475.944</v>
      </c>
      <c r="G1744" s="26">
        <f>IFERROR(__xludf.DUMMYFUNCTION("""COMPUTED_VALUE"""),7.0)</f>
        <v>7</v>
      </c>
      <c r="H1744" s="26">
        <f>IFERROR(__xludf.DUMMYFUNCTION("""COMPUTED_VALUE"""),95.1888)</f>
        <v>95.1888</v>
      </c>
    </row>
    <row r="1745">
      <c r="A1745" s="26" t="str">
        <f>IFERROR(__xludf.DUMMYFUNCTION("""COMPUTED_VALUE"""),"US-2014-157070")</f>
        <v>US-2014-157070</v>
      </c>
      <c r="B1745" s="27">
        <f>IFERROR(__xludf.DUMMYFUNCTION("""COMPUTED_VALUE"""),41791.0)</f>
        <v>41791</v>
      </c>
      <c r="C1745" s="26" t="str">
        <f>IFERROR(__xludf.DUMMYFUNCTION("""COMPUTED_VALUE"""),"Corporate")</f>
        <v>Corporate</v>
      </c>
      <c r="D1745" s="26" t="str">
        <f>IFERROR(__xludf.DUMMYFUNCTION("""COMPUTED_VALUE"""),"Michigan")</f>
        <v>Michigan</v>
      </c>
      <c r="E1745" s="26" t="str">
        <f>IFERROR(__xludf.DUMMYFUNCTION("""COMPUTED_VALUE"""),"Central")</f>
        <v>Central</v>
      </c>
      <c r="F1745" s="26">
        <f>IFERROR(__xludf.DUMMYFUNCTION("""COMPUTED_VALUE"""),138.56)</f>
        <v>138.56</v>
      </c>
      <c r="G1745" s="26">
        <f>IFERROR(__xludf.DUMMYFUNCTION("""COMPUTED_VALUE"""),4.0)</f>
        <v>4</v>
      </c>
      <c r="H1745" s="26">
        <f>IFERROR(__xludf.DUMMYFUNCTION("""COMPUTED_VALUE"""),66.5088)</f>
        <v>66.5088</v>
      </c>
    </row>
    <row r="1746">
      <c r="A1746" s="26" t="str">
        <f>IFERROR(__xludf.DUMMYFUNCTION("""COMPUTED_VALUE"""),"CA-2014-168368")</f>
        <v>CA-2014-168368</v>
      </c>
      <c r="B1746" s="27">
        <f>IFERROR(__xludf.DUMMYFUNCTION("""COMPUTED_VALUE"""),41681.0)</f>
        <v>41681</v>
      </c>
      <c r="C1746" s="26" t="str">
        <f>IFERROR(__xludf.DUMMYFUNCTION("""COMPUTED_VALUE"""),"Consumer")</f>
        <v>Consumer</v>
      </c>
      <c r="D1746" s="26" t="str">
        <f>IFERROR(__xludf.DUMMYFUNCTION("""COMPUTED_VALUE"""),"Missouri")</f>
        <v>Missouri</v>
      </c>
      <c r="E1746" s="26" t="str">
        <f>IFERROR(__xludf.DUMMYFUNCTION("""COMPUTED_VALUE"""),"Central")</f>
        <v>Central</v>
      </c>
      <c r="F1746" s="26">
        <f>IFERROR(__xludf.DUMMYFUNCTION("""COMPUTED_VALUE"""),60.89)</f>
        <v>60.89</v>
      </c>
      <c r="G1746" s="26">
        <f>IFERROR(__xludf.DUMMYFUNCTION("""COMPUTED_VALUE"""),1.0)</f>
        <v>1</v>
      </c>
      <c r="H1746" s="26">
        <f>IFERROR(__xludf.DUMMYFUNCTION("""COMPUTED_VALUE"""),15.2225)</f>
        <v>15.2225</v>
      </c>
    </row>
    <row r="1747">
      <c r="A1747" s="26" t="str">
        <f>IFERROR(__xludf.DUMMYFUNCTION("""COMPUTED_VALUE"""),"CA-2014-161032")</f>
        <v>CA-2014-161032</v>
      </c>
      <c r="B1747" s="29">
        <f>IFERROR(__xludf.DUMMYFUNCTION("""COMPUTED_VALUE"""),41961.0)</f>
        <v>41961</v>
      </c>
      <c r="C1747" s="26" t="str">
        <f>IFERROR(__xludf.DUMMYFUNCTION("""COMPUTED_VALUE"""),"Corporate")</f>
        <v>Corporate</v>
      </c>
      <c r="D1747" s="26" t="str">
        <f>IFERROR(__xludf.DUMMYFUNCTION("""COMPUTED_VALUE"""),"Wisconsin")</f>
        <v>Wisconsin</v>
      </c>
      <c r="E1747" s="26" t="str">
        <f>IFERROR(__xludf.DUMMYFUNCTION("""COMPUTED_VALUE"""),"Central")</f>
        <v>Central</v>
      </c>
      <c r="F1747" s="26">
        <f>IFERROR(__xludf.DUMMYFUNCTION("""COMPUTED_VALUE"""),392.94)</f>
        <v>392.94</v>
      </c>
      <c r="G1747" s="26">
        <f>IFERROR(__xludf.DUMMYFUNCTION("""COMPUTED_VALUE"""),3.0)</f>
        <v>3</v>
      </c>
      <c r="H1747" s="26">
        <f>IFERROR(__xludf.DUMMYFUNCTION("""COMPUTED_VALUE"""),43.2234)</f>
        <v>43.2234</v>
      </c>
    </row>
    <row r="1748">
      <c r="A1748" s="26" t="str">
        <f>IFERROR(__xludf.DUMMYFUNCTION("""COMPUTED_VALUE"""),"US-2014-166828")</f>
        <v>US-2014-166828</v>
      </c>
      <c r="B1748" s="27">
        <f>IFERROR(__xludf.DUMMYFUNCTION("""COMPUTED_VALUE"""),41873.0)</f>
        <v>41873</v>
      </c>
      <c r="C1748" s="26" t="str">
        <f>IFERROR(__xludf.DUMMYFUNCTION("""COMPUTED_VALUE"""),"Consumer")</f>
        <v>Consumer</v>
      </c>
      <c r="D1748" s="26" t="str">
        <f>IFERROR(__xludf.DUMMYFUNCTION("""COMPUTED_VALUE"""),"Missouri")</f>
        <v>Missouri</v>
      </c>
      <c r="E1748" s="26" t="str">
        <f>IFERROR(__xludf.DUMMYFUNCTION("""COMPUTED_VALUE"""),"Central")</f>
        <v>Central</v>
      </c>
      <c r="F1748" s="26">
        <f>IFERROR(__xludf.DUMMYFUNCTION("""COMPUTED_VALUE"""),11.56)</f>
        <v>11.56</v>
      </c>
      <c r="G1748" s="26">
        <f>IFERROR(__xludf.DUMMYFUNCTION("""COMPUTED_VALUE"""),2.0)</f>
        <v>2</v>
      </c>
      <c r="H1748" s="26">
        <f>IFERROR(__xludf.DUMMYFUNCTION("""COMPUTED_VALUE"""),5.6644)</f>
        <v>5.6644</v>
      </c>
    </row>
    <row r="1749">
      <c r="A1749" s="26" t="str">
        <f>IFERROR(__xludf.DUMMYFUNCTION("""COMPUTED_VALUE"""),"CA-2014-152618")</f>
        <v>CA-2014-152618</v>
      </c>
      <c r="B1749" s="27">
        <f>IFERROR(__xludf.DUMMYFUNCTION("""COMPUTED_VALUE"""),41712.0)</f>
        <v>41712</v>
      </c>
      <c r="C1749" s="26" t="str">
        <f>IFERROR(__xludf.DUMMYFUNCTION("""COMPUTED_VALUE"""),"Home Office")</f>
        <v>Home Office</v>
      </c>
      <c r="D1749" s="26" t="str">
        <f>IFERROR(__xludf.DUMMYFUNCTION("""COMPUTED_VALUE"""),"Illinois")</f>
        <v>Illinois</v>
      </c>
      <c r="E1749" s="26" t="str">
        <f>IFERROR(__xludf.DUMMYFUNCTION("""COMPUTED_VALUE"""),"Central")</f>
        <v>Central</v>
      </c>
      <c r="F1749" s="26">
        <f>IFERROR(__xludf.DUMMYFUNCTION("""COMPUTED_VALUE"""),574.91)</f>
        <v>574.91</v>
      </c>
      <c r="G1749" s="26">
        <f>IFERROR(__xludf.DUMMYFUNCTION("""COMPUTED_VALUE"""),2.0)</f>
        <v>2</v>
      </c>
      <c r="H1749" s="26">
        <f>IFERROR(__xludf.DUMMYFUNCTION("""COMPUTED_VALUE"""),156.047)</f>
        <v>156.047</v>
      </c>
    </row>
    <row r="1750">
      <c r="A1750" s="26" t="str">
        <f>IFERROR(__xludf.DUMMYFUNCTION("""COMPUTED_VALUE"""),"CA-2014-152100")</f>
        <v>CA-2014-152100</v>
      </c>
      <c r="B1750" s="27">
        <f>IFERROR(__xludf.DUMMYFUNCTION("""COMPUTED_VALUE"""),41770.0)</f>
        <v>41770</v>
      </c>
      <c r="C1750" s="26" t="str">
        <f>IFERROR(__xludf.DUMMYFUNCTION("""COMPUTED_VALUE"""),"Corporate")</f>
        <v>Corporate</v>
      </c>
      <c r="D1750" s="26" t="str">
        <f>IFERROR(__xludf.DUMMYFUNCTION("""COMPUTED_VALUE"""),"Texas")</f>
        <v>Texas</v>
      </c>
      <c r="E1750" s="26" t="str">
        <f>IFERROR(__xludf.DUMMYFUNCTION("""COMPUTED_VALUE"""),"Central")</f>
        <v>Central</v>
      </c>
      <c r="F1750" s="26">
        <f>IFERROR(__xludf.DUMMYFUNCTION("""COMPUTED_VALUE"""),1212.96)</f>
        <v>1212.96</v>
      </c>
      <c r="G1750" s="26">
        <f>IFERROR(__xludf.DUMMYFUNCTION("""COMPUTED_VALUE"""),8.0)</f>
        <v>8</v>
      </c>
      <c r="H1750" s="26">
        <f>IFERROR(__xludf.DUMMYFUNCTION("""COMPUTED_VALUE"""),-69.312)</f>
        <v>-69.312</v>
      </c>
    </row>
    <row r="1751">
      <c r="A1751" s="26" t="str">
        <f>IFERROR(__xludf.DUMMYFUNCTION("""COMPUTED_VALUE"""),"US-2014-154655")</f>
        <v>US-2014-154655</v>
      </c>
      <c r="B1751" s="29">
        <f>IFERROR(__xludf.DUMMYFUNCTION("""COMPUTED_VALUE"""),41924.0)</f>
        <v>41924</v>
      </c>
      <c r="C1751" s="26" t="str">
        <f>IFERROR(__xludf.DUMMYFUNCTION("""COMPUTED_VALUE"""),"Corporate")</f>
        <v>Corporate</v>
      </c>
      <c r="D1751" s="26" t="str">
        <f>IFERROR(__xludf.DUMMYFUNCTION("""COMPUTED_VALUE"""),"Illinois")</f>
        <v>Illinois</v>
      </c>
      <c r="E1751" s="26" t="str">
        <f>IFERROR(__xludf.DUMMYFUNCTION("""COMPUTED_VALUE"""),"Central")</f>
        <v>Central</v>
      </c>
      <c r="F1751" s="26">
        <f>IFERROR(__xludf.DUMMYFUNCTION("""COMPUTED_VALUE"""),22.24)</f>
        <v>22.24</v>
      </c>
      <c r="G1751" s="26">
        <f>IFERROR(__xludf.DUMMYFUNCTION("""COMPUTED_VALUE"""),2.0)</f>
        <v>2</v>
      </c>
      <c r="H1751" s="26">
        <f>IFERROR(__xludf.DUMMYFUNCTION("""COMPUTED_VALUE"""),2.502)</f>
        <v>2.502</v>
      </c>
    </row>
    <row r="1752">
      <c r="A1752" s="26" t="str">
        <f>IFERROR(__xludf.DUMMYFUNCTION("""COMPUTED_VALUE"""),"CA-2014-126193")</f>
        <v>CA-2014-126193</v>
      </c>
      <c r="B1752" s="27">
        <f>IFERROR(__xludf.DUMMYFUNCTION("""COMPUTED_VALUE"""),41889.0)</f>
        <v>41889</v>
      </c>
      <c r="C1752" s="26" t="str">
        <f>IFERROR(__xludf.DUMMYFUNCTION("""COMPUTED_VALUE"""),"Consumer")</f>
        <v>Consumer</v>
      </c>
      <c r="D1752" s="26" t="str">
        <f>IFERROR(__xludf.DUMMYFUNCTION("""COMPUTED_VALUE"""),"Illinois")</f>
        <v>Illinois</v>
      </c>
      <c r="E1752" s="26" t="str">
        <f>IFERROR(__xludf.DUMMYFUNCTION("""COMPUTED_VALUE"""),"Central")</f>
        <v>Central</v>
      </c>
      <c r="F1752" s="26">
        <f>IFERROR(__xludf.DUMMYFUNCTION("""COMPUTED_VALUE"""),13.16)</f>
        <v>13.16</v>
      </c>
      <c r="G1752" s="26">
        <f>IFERROR(__xludf.DUMMYFUNCTION("""COMPUTED_VALUE"""),5.0)</f>
        <v>5</v>
      </c>
      <c r="H1752" s="26">
        <f>IFERROR(__xludf.DUMMYFUNCTION("""COMPUTED_VALUE"""),4.1125)</f>
        <v>4.1125</v>
      </c>
    </row>
    <row r="1753">
      <c r="A1753" s="26" t="str">
        <f>IFERROR(__xludf.DUMMYFUNCTION("""COMPUTED_VALUE"""),"CA-2014-149104")</f>
        <v>CA-2014-149104</v>
      </c>
      <c r="B1753" s="27">
        <f>IFERROR(__xludf.DUMMYFUNCTION("""COMPUTED_VALUE"""),41734.0)</f>
        <v>41734</v>
      </c>
      <c r="C1753" s="26" t="str">
        <f>IFERROR(__xludf.DUMMYFUNCTION("""COMPUTED_VALUE"""),"Consumer")</f>
        <v>Consumer</v>
      </c>
      <c r="D1753" s="26" t="str">
        <f>IFERROR(__xludf.DUMMYFUNCTION("""COMPUTED_VALUE"""),"Michigan")</f>
        <v>Michigan</v>
      </c>
      <c r="E1753" s="26" t="str">
        <f>IFERROR(__xludf.DUMMYFUNCTION("""COMPUTED_VALUE"""),"Central")</f>
        <v>Central</v>
      </c>
      <c r="F1753" s="26">
        <f>IFERROR(__xludf.DUMMYFUNCTION("""COMPUTED_VALUE"""),26.7)</f>
        <v>26.7</v>
      </c>
      <c r="G1753" s="26">
        <f>IFERROR(__xludf.DUMMYFUNCTION("""COMPUTED_VALUE"""),2.0)</f>
        <v>2</v>
      </c>
      <c r="H1753" s="26">
        <f>IFERROR(__xludf.DUMMYFUNCTION("""COMPUTED_VALUE"""),7.476)</f>
        <v>7.476</v>
      </c>
    </row>
    <row r="1754">
      <c r="A1754" s="26" t="str">
        <f>IFERROR(__xludf.DUMMYFUNCTION("""COMPUTED_VALUE"""),"CA-2014-130575")</f>
        <v>CA-2014-130575</v>
      </c>
      <c r="B1754" s="29">
        <f>IFERROR(__xludf.DUMMYFUNCTION("""COMPUTED_VALUE"""),41987.0)</f>
        <v>41987</v>
      </c>
      <c r="C1754" s="26" t="str">
        <f>IFERROR(__xludf.DUMMYFUNCTION("""COMPUTED_VALUE"""),"Corporate")</f>
        <v>Corporate</v>
      </c>
      <c r="D1754" s="26" t="str">
        <f>IFERROR(__xludf.DUMMYFUNCTION("""COMPUTED_VALUE"""),"Illinois")</f>
        <v>Illinois</v>
      </c>
      <c r="E1754" s="26" t="str">
        <f>IFERROR(__xludf.DUMMYFUNCTION("""COMPUTED_VALUE"""),"Central")</f>
        <v>Central</v>
      </c>
      <c r="F1754" s="26">
        <f>IFERROR(__xludf.DUMMYFUNCTION("""COMPUTED_VALUE"""),9.264)</f>
        <v>9.264</v>
      </c>
      <c r="G1754" s="26">
        <f>IFERROR(__xludf.DUMMYFUNCTION("""COMPUTED_VALUE"""),3.0)</f>
        <v>3</v>
      </c>
      <c r="H1754" s="26">
        <f>IFERROR(__xludf.DUMMYFUNCTION("""COMPUTED_VALUE"""),-13.896)</f>
        <v>-13.896</v>
      </c>
    </row>
    <row r="1755">
      <c r="A1755" s="26" t="str">
        <f>IFERROR(__xludf.DUMMYFUNCTION("""COMPUTED_VALUE"""),"CA-2014-154165")</f>
        <v>CA-2014-154165</v>
      </c>
      <c r="B1755" s="27">
        <f>IFERROR(__xludf.DUMMYFUNCTION("""COMPUTED_VALUE"""),41687.0)</f>
        <v>41687</v>
      </c>
      <c r="C1755" s="26" t="str">
        <f>IFERROR(__xludf.DUMMYFUNCTION("""COMPUTED_VALUE"""),"Consumer")</f>
        <v>Consumer</v>
      </c>
      <c r="D1755" s="26" t="str">
        <f>IFERROR(__xludf.DUMMYFUNCTION("""COMPUTED_VALUE"""),"Illinois")</f>
        <v>Illinois</v>
      </c>
      <c r="E1755" s="26" t="str">
        <f>IFERROR(__xludf.DUMMYFUNCTION("""COMPUTED_VALUE"""),"Central")</f>
        <v>Central</v>
      </c>
      <c r="F1755" s="26">
        <f>IFERROR(__xludf.DUMMYFUNCTION("""COMPUTED_VALUE"""),54.208)</f>
        <v>54.208</v>
      </c>
      <c r="G1755" s="26">
        <f>IFERROR(__xludf.DUMMYFUNCTION("""COMPUTED_VALUE"""),14.0)</f>
        <v>14</v>
      </c>
      <c r="H1755" s="26">
        <f>IFERROR(__xludf.DUMMYFUNCTION("""COMPUTED_VALUE"""),8.8088)</f>
        <v>8.8088</v>
      </c>
    </row>
    <row r="1756">
      <c r="A1756" s="26" t="str">
        <f>IFERROR(__xludf.DUMMYFUNCTION("""COMPUTED_VALUE"""),"CA-2014-169446")</f>
        <v>CA-2014-169446</v>
      </c>
      <c r="B1756" s="29">
        <f>IFERROR(__xludf.DUMMYFUNCTION("""COMPUTED_VALUE"""),41992.0)</f>
        <v>41992</v>
      </c>
      <c r="C1756" s="26" t="str">
        <f>IFERROR(__xludf.DUMMYFUNCTION("""COMPUTED_VALUE"""),"Consumer")</f>
        <v>Consumer</v>
      </c>
      <c r="D1756" s="26" t="str">
        <f>IFERROR(__xludf.DUMMYFUNCTION("""COMPUTED_VALUE"""),"Illinois")</f>
        <v>Illinois</v>
      </c>
      <c r="E1756" s="26" t="str">
        <f>IFERROR(__xludf.DUMMYFUNCTION("""COMPUTED_VALUE"""),"Central")</f>
        <v>Central</v>
      </c>
      <c r="F1756" s="26">
        <f>IFERROR(__xludf.DUMMYFUNCTION("""COMPUTED_VALUE"""),323.976)</f>
        <v>323.976</v>
      </c>
      <c r="G1756" s="26">
        <f>IFERROR(__xludf.DUMMYFUNCTION("""COMPUTED_VALUE"""),3.0)</f>
        <v>3</v>
      </c>
      <c r="H1756" s="26">
        <f>IFERROR(__xludf.DUMMYFUNCTION("""COMPUTED_VALUE"""),36.4473)</f>
        <v>36.4473</v>
      </c>
    </row>
    <row r="1757">
      <c r="A1757" s="26" t="str">
        <f>IFERROR(__xludf.DUMMYFUNCTION("""COMPUTED_VALUE"""),"CA-2014-166590")</f>
        <v>CA-2014-166590</v>
      </c>
      <c r="B1757" s="29">
        <f>IFERROR(__xludf.DUMMYFUNCTION("""COMPUTED_VALUE"""),41941.0)</f>
        <v>41941</v>
      </c>
      <c r="C1757" s="26" t="str">
        <f>IFERROR(__xludf.DUMMYFUNCTION("""COMPUTED_VALUE"""),"Corporate")</f>
        <v>Corporate</v>
      </c>
      <c r="D1757" s="26" t="str">
        <f>IFERROR(__xludf.DUMMYFUNCTION("""COMPUTED_VALUE"""),"Indiana")</f>
        <v>Indiana</v>
      </c>
      <c r="E1757" s="26" t="str">
        <f>IFERROR(__xludf.DUMMYFUNCTION("""COMPUTED_VALUE"""),"Central")</f>
        <v>Central</v>
      </c>
      <c r="F1757" s="26">
        <f>IFERROR(__xludf.DUMMYFUNCTION("""COMPUTED_VALUE"""),1.98)</f>
        <v>1.98</v>
      </c>
      <c r="G1757" s="26">
        <f>IFERROR(__xludf.DUMMYFUNCTION("""COMPUTED_VALUE"""),2.0)</f>
        <v>2</v>
      </c>
      <c r="H1757" s="26">
        <f>IFERROR(__xludf.DUMMYFUNCTION("""COMPUTED_VALUE"""),0.891)</f>
        <v>0.891</v>
      </c>
    </row>
    <row r="1758">
      <c r="A1758" s="26" t="str">
        <f>IFERROR(__xludf.DUMMYFUNCTION("""COMPUTED_VALUE"""),"CA-2014-103086")</f>
        <v>CA-2014-103086</v>
      </c>
      <c r="B1758" s="29">
        <f>IFERROR(__xludf.DUMMYFUNCTION("""COMPUTED_VALUE"""),41929.0)</f>
        <v>41929</v>
      </c>
      <c r="C1758" s="26" t="str">
        <f>IFERROR(__xludf.DUMMYFUNCTION("""COMPUTED_VALUE"""),"Consumer")</f>
        <v>Consumer</v>
      </c>
      <c r="D1758" s="26" t="str">
        <f>IFERROR(__xludf.DUMMYFUNCTION("""COMPUTED_VALUE"""),"Texas")</f>
        <v>Texas</v>
      </c>
      <c r="E1758" s="26" t="str">
        <f>IFERROR(__xludf.DUMMYFUNCTION("""COMPUTED_VALUE"""),"Central")</f>
        <v>Central</v>
      </c>
      <c r="F1758" s="26">
        <f>IFERROR(__xludf.DUMMYFUNCTION("""COMPUTED_VALUE"""),5.312)</f>
        <v>5.312</v>
      </c>
      <c r="G1758" s="26">
        <f>IFERROR(__xludf.DUMMYFUNCTION("""COMPUTED_VALUE"""),2.0)</f>
        <v>2</v>
      </c>
      <c r="H1758" s="26">
        <f>IFERROR(__xludf.DUMMYFUNCTION("""COMPUTED_VALUE"""),-1.5936)</f>
        <v>-1.5936</v>
      </c>
    </row>
    <row r="1759">
      <c r="A1759" s="26" t="str">
        <f>IFERROR(__xludf.DUMMYFUNCTION("""COMPUTED_VALUE"""),"CA-2014-119172")</f>
        <v>CA-2014-119172</v>
      </c>
      <c r="B1759" s="27">
        <f>IFERROR(__xludf.DUMMYFUNCTION("""COMPUTED_VALUE"""),41770.0)</f>
        <v>41770</v>
      </c>
      <c r="C1759" s="26" t="str">
        <f>IFERROR(__xludf.DUMMYFUNCTION("""COMPUTED_VALUE"""),"Home Office")</f>
        <v>Home Office</v>
      </c>
      <c r="D1759" s="26" t="str">
        <f>IFERROR(__xludf.DUMMYFUNCTION("""COMPUTED_VALUE"""),"Illinois")</f>
        <v>Illinois</v>
      </c>
      <c r="E1759" s="26" t="str">
        <f>IFERROR(__xludf.DUMMYFUNCTION("""COMPUTED_VALUE"""),"Central")</f>
        <v>Central</v>
      </c>
      <c r="F1759" s="26">
        <f>IFERROR(__xludf.DUMMYFUNCTION("""COMPUTED_VALUE"""),17.472)</f>
        <v>17.472</v>
      </c>
      <c r="G1759" s="26">
        <f>IFERROR(__xludf.DUMMYFUNCTION("""COMPUTED_VALUE"""),3.0)</f>
        <v>3</v>
      </c>
      <c r="H1759" s="26">
        <f>IFERROR(__xludf.DUMMYFUNCTION("""COMPUTED_VALUE"""),5.6784)</f>
        <v>5.6784</v>
      </c>
    </row>
    <row r="1760">
      <c r="A1760" s="26" t="str">
        <f>IFERROR(__xludf.DUMMYFUNCTION("""COMPUTED_VALUE"""),"CA-2014-139283")</f>
        <v>CA-2014-139283</v>
      </c>
      <c r="B1760" s="29">
        <f>IFERROR(__xludf.DUMMYFUNCTION("""COMPUTED_VALUE"""),41966.0)</f>
        <v>41966</v>
      </c>
      <c r="C1760" s="26" t="str">
        <f>IFERROR(__xludf.DUMMYFUNCTION("""COMPUTED_VALUE"""),"Consumer")</f>
        <v>Consumer</v>
      </c>
      <c r="D1760" s="26" t="str">
        <f>IFERROR(__xludf.DUMMYFUNCTION("""COMPUTED_VALUE"""),"Michigan")</f>
        <v>Michigan</v>
      </c>
      <c r="E1760" s="26" t="str">
        <f>IFERROR(__xludf.DUMMYFUNCTION("""COMPUTED_VALUE"""),"Central")</f>
        <v>Central</v>
      </c>
      <c r="F1760" s="26">
        <f>IFERROR(__xludf.DUMMYFUNCTION("""COMPUTED_VALUE"""),14.67)</f>
        <v>14.67</v>
      </c>
      <c r="G1760" s="26">
        <f>IFERROR(__xludf.DUMMYFUNCTION("""COMPUTED_VALUE"""),3.0)</f>
        <v>3</v>
      </c>
      <c r="H1760" s="26">
        <f>IFERROR(__xludf.DUMMYFUNCTION("""COMPUTED_VALUE"""),6.7482)</f>
        <v>6.7482</v>
      </c>
    </row>
    <row r="1761">
      <c r="A1761" s="26" t="str">
        <f>IFERROR(__xludf.DUMMYFUNCTION("""COMPUTED_VALUE"""),"CA-2014-150518")</f>
        <v>CA-2014-150518</v>
      </c>
      <c r="B1761" s="29">
        <f>IFERROR(__xludf.DUMMYFUNCTION("""COMPUTED_VALUE"""),41962.0)</f>
        <v>41962</v>
      </c>
      <c r="C1761" s="26" t="str">
        <f>IFERROR(__xludf.DUMMYFUNCTION("""COMPUTED_VALUE"""),"Consumer")</f>
        <v>Consumer</v>
      </c>
      <c r="D1761" s="26" t="str">
        <f>IFERROR(__xludf.DUMMYFUNCTION("""COMPUTED_VALUE"""),"Minnesota")</f>
        <v>Minnesota</v>
      </c>
      <c r="E1761" s="26" t="str">
        <f>IFERROR(__xludf.DUMMYFUNCTION("""COMPUTED_VALUE"""),"Central")</f>
        <v>Central</v>
      </c>
      <c r="F1761" s="26">
        <f>IFERROR(__xludf.DUMMYFUNCTION("""COMPUTED_VALUE"""),221.16)</f>
        <v>221.16</v>
      </c>
      <c r="G1761" s="26">
        <f>IFERROR(__xludf.DUMMYFUNCTION("""COMPUTED_VALUE"""),4.0)</f>
        <v>4</v>
      </c>
      <c r="H1761" s="26">
        <f>IFERROR(__xludf.DUMMYFUNCTION("""COMPUTED_VALUE"""),57.5016)</f>
        <v>57.5016</v>
      </c>
    </row>
    <row r="1762">
      <c r="A1762" s="26" t="str">
        <f>IFERROR(__xludf.DUMMYFUNCTION("""COMPUTED_VALUE"""),"US-2014-164644")</f>
        <v>US-2014-164644</v>
      </c>
      <c r="B1762" s="27">
        <f>IFERROR(__xludf.DUMMYFUNCTION("""COMPUTED_VALUE"""),41842.0)</f>
        <v>41842</v>
      </c>
      <c r="C1762" s="26" t="str">
        <f>IFERROR(__xludf.DUMMYFUNCTION("""COMPUTED_VALUE"""),"Consumer")</f>
        <v>Consumer</v>
      </c>
      <c r="D1762" s="26" t="str">
        <f>IFERROR(__xludf.DUMMYFUNCTION("""COMPUTED_VALUE"""),"Texas")</f>
        <v>Texas</v>
      </c>
      <c r="E1762" s="26" t="str">
        <f>IFERROR(__xludf.DUMMYFUNCTION("""COMPUTED_VALUE"""),"Central")</f>
        <v>Central</v>
      </c>
      <c r="F1762" s="26">
        <f>IFERROR(__xludf.DUMMYFUNCTION("""COMPUTED_VALUE"""),26.632)</f>
        <v>26.632</v>
      </c>
      <c r="G1762" s="26">
        <f>IFERROR(__xludf.DUMMYFUNCTION("""COMPUTED_VALUE"""),1.0)</f>
        <v>1</v>
      </c>
      <c r="H1762" s="26">
        <f>IFERROR(__xludf.DUMMYFUNCTION("""COMPUTED_VALUE"""),1.3316)</f>
        <v>1.3316</v>
      </c>
    </row>
    <row r="1763">
      <c r="A1763" s="26" t="str">
        <f>IFERROR(__xludf.DUMMYFUNCTION("""COMPUTED_VALUE"""),"US-2014-120175")</f>
        <v>US-2014-120175</v>
      </c>
      <c r="B1763" s="29">
        <f>IFERROR(__xludf.DUMMYFUNCTION("""COMPUTED_VALUE"""),41971.0)</f>
        <v>41971</v>
      </c>
      <c r="C1763" s="26" t="str">
        <f>IFERROR(__xludf.DUMMYFUNCTION("""COMPUTED_VALUE"""),"Corporate")</f>
        <v>Corporate</v>
      </c>
      <c r="D1763" s="26" t="str">
        <f>IFERROR(__xludf.DUMMYFUNCTION("""COMPUTED_VALUE"""),"Indiana")</f>
        <v>Indiana</v>
      </c>
      <c r="E1763" s="26" t="str">
        <f>IFERROR(__xludf.DUMMYFUNCTION("""COMPUTED_VALUE"""),"Central")</f>
        <v>Central</v>
      </c>
      <c r="F1763" s="26">
        <f>IFERROR(__xludf.DUMMYFUNCTION("""COMPUTED_VALUE"""),64.02)</f>
        <v>64.02</v>
      </c>
      <c r="G1763" s="26">
        <f>IFERROR(__xludf.DUMMYFUNCTION("""COMPUTED_VALUE"""),6.0)</f>
        <v>6</v>
      </c>
      <c r="H1763" s="26">
        <f>IFERROR(__xludf.DUMMYFUNCTION("""COMPUTED_VALUE"""),29.4492)</f>
        <v>29.4492</v>
      </c>
    </row>
    <row r="1764">
      <c r="A1764" s="26" t="str">
        <f>IFERROR(__xludf.DUMMYFUNCTION("""COMPUTED_VALUE"""),"CA-2014-144281")</f>
        <v>CA-2014-144281</v>
      </c>
      <c r="B1764" s="27">
        <f>IFERROR(__xludf.DUMMYFUNCTION("""COMPUTED_VALUE"""),41800.0)</f>
        <v>41800</v>
      </c>
      <c r="C1764" s="26" t="str">
        <f>IFERROR(__xludf.DUMMYFUNCTION("""COMPUTED_VALUE"""),"Corporate")</f>
        <v>Corporate</v>
      </c>
      <c r="D1764" s="26" t="str">
        <f>IFERROR(__xludf.DUMMYFUNCTION("""COMPUTED_VALUE"""),"Michigan")</f>
        <v>Michigan</v>
      </c>
      <c r="E1764" s="26" t="str">
        <f>IFERROR(__xludf.DUMMYFUNCTION("""COMPUTED_VALUE"""),"Central")</f>
        <v>Central</v>
      </c>
      <c r="F1764" s="26">
        <f>IFERROR(__xludf.DUMMYFUNCTION("""COMPUTED_VALUE"""),491.55)</f>
        <v>491.55</v>
      </c>
      <c r="G1764" s="26">
        <f>IFERROR(__xludf.DUMMYFUNCTION("""COMPUTED_VALUE"""),5.0)</f>
        <v>5</v>
      </c>
      <c r="H1764" s="26">
        <f>IFERROR(__xludf.DUMMYFUNCTION("""COMPUTED_VALUE"""),240.8595)</f>
        <v>240.8595</v>
      </c>
    </row>
    <row r="1765">
      <c r="A1765" s="26" t="str">
        <f>IFERROR(__xludf.DUMMYFUNCTION("""COMPUTED_VALUE"""),"US-2014-140914")</f>
        <v>US-2014-140914</v>
      </c>
      <c r="B1765" s="29">
        <f>IFERROR(__xludf.DUMMYFUNCTION("""COMPUTED_VALUE"""),41954.0)</f>
        <v>41954</v>
      </c>
      <c r="C1765" s="26" t="str">
        <f>IFERROR(__xludf.DUMMYFUNCTION("""COMPUTED_VALUE"""),"Consumer")</f>
        <v>Consumer</v>
      </c>
      <c r="D1765" s="26" t="str">
        <f>IFERROR(__xludf.DUMMYFUNCTION("""COMPUTED_VALUE"""),"Illinois")</f>
        <v>Illinois</v>
      </c>
      <c r="E1765" s="26" t="str">
        <f>IFERROR(__xludf.DUMMYFUNCTION("""COMPUTED_VALUE"""),"Central")</f>
        <v>Central</v>
      </c>
      <c r="F1765" s="26">
        <f>IFERROR(__xludf.DUMMYFUNCTION("""COMPUTED_VALUE"""),10.984)</f>
        <v>10.984</v>
      </c>
      <c r="G1765" s="26">
        <f>IFERROR(__xludf.DUMMYFUNCTION("""COMPUTED_VALUE"""),2.0)</f>
        <v>2</v>
      </c>
      <c r="H1765" s="26">
        <f>IFERROR(__xludf.DUMMYFUNCTION("""COMPUTED_VALUE"""),-7.9634)</f>
        <v>-7.9634</v>
      </c>
    </row>
    <row r="1766">
      <c r="A1766" s="26" t="str">
        <f>IFERROR(__xludf.DUMMYFUNCTION("""COMPUTED_VALUE"""),"CA-2014-169019")</f>
        <v>CA-2014-169019</v>
      </c>
      <c r="B1766" s="27">
        <f>IFERROR(__xludf.DUMMYFUNCTION("""COMPUTED_VALUE"""),41846.0)</f>
        <v>41846</v>
      </c>
      <c r="C1766" s="26" t="str">
        <f>IFERROR(__xludf.DUMMYFUNCTION("""COMPUTED_VALUE"""),"Consumer")</f>
        <v>Consumer</v>
      </c>
      <c r="D1766" s="26" t="str">
        <f>IFERROR(__xludf.DUMMYFUNCTION("""COMPUTED_VALUE"""),"Texas")</f>
        <v>Texas</v>
      </c>
      <c r="E1766" s="26" t="str">
        <f>IFERROR(__xludf.DUMMYFUNCTION("""COMPUTED_VALUE"""),"Central")</f>
        <v>Central</v>
      </c>
      <c r="F1766" s="26">
        <f>IFERROR(__xludf.DUMMYFUNCTION("""COMPUTED_VALUE"""),2177.584)</f>
        <v>2177.584</v>
      </c>
      <c r="G1766" s="26">
        <f>IFERROR(__xludf.DUMMYFUNCTION("""COMPUTED_VALUE"""),8.0)</f>
        <v>8</v>
      </c>
      <c r="H1766" s="26">
        <f>IFERROR(__xludf.DUMMYFUNCTION("""COMPUTED_VALUE"""),-3701.8928)</f>
        <v>-3701.8928</v>
      </c>
    </row>
    <row r="1767">
      <c r="A1767" s="26" t="str">
        <f>IFERROR(__xludf.DUMMYFUNCTION("""COMPUTED_VALUE"""),"CA-2014-127166")</f>
        <v>CA-2014-127166</v>
      </c>
      <c r="B1767" s="27">
        <f>IFERROR(__xludf.DUMMYFUNCTION("""COMPUTED_VALUE"""),41780.0)</f>
        <v>41780</v>
      </c>
      <c r="C1767" s="26" t="str">
        <f>IFERROR(__xludf.DUMMYFUNCTION("""COMPUTED_VALUE"""),"Consumer")</f>
        <v>Consumer</v>
      </c>
      <c r="D1767" s="26" t="str">
        <f>IFERROR(__xludf.DUMMYFUNCTION("""COMPUTED_VALUE"""),"Texas")</f>
        <v>Texas</v>
      </c>
      <c r="E1767" s="26" t="str">
        <f>IFERROR(__xludf.DUMMYFUNCTION("""COMPUTED_VALUE"""),"Central")</f>
        <v>Central</v>
      </c>
      <c r="F1767" s="26">
        <f>IFERROR(__xludf.DUMMYFUNCTION("""COMPUTED_VALUE"""),56.064)</f>
        <v>56.064</v>
      </c>
      <c r="G1767" s="26">
        <f>IFERROR(__xludf.DUMMYFUNCTION("""COMPUTED_VALUE"""),6.0)</f>
        <v>6</v>
      </c>
      <c r="H1767" s="26">
        <f>IFERROR(__xludf.DUMMYFUNCTION("""COMPUTED_VALUE"""),21.024)</f>
        <v>21.024</v>
      </c>
    </row>
    <row r="1768">
      <c r="A1768" s="26" t="str">
        <f>IFERROR(__xludf.DUMMYFUNCTION("""COMPUTED_VALUE"""),"CA-2014-113257")</f>
        <v>CA-2014-113257</v>
      </c>
      <c r="B1768" s="29">
        <f>IFERROR(__xludf.DUMMYFUNCTION("""COMPUTED_VALUE"""),41989.0)</f>
        <v>41989</v>
      </c>
      <c r="C1768" s="26" t="str">
        <f>IFERROR(__xludf.DUMMYFUNCTION("""COMPUTED_VALUE"""),"Consumer")</f>
        <v>Consumer</v>
      </c>
      <c r="D1768" s="26" t="str">
        <f>IFERROR(__xludf.DUMMYFUNCTION("""COMPUTED_VALUE"""),"Texas")</f>
        <v>Texas</v>
      </c>
      <c r="E1768" s="26" t="str">
        <f>IFERROR(__xludf.DUMMYFUNCTION("""COMPUTED_VALUE"""),"Central")</f>
        <v>Central</v>
      </c>
      <c r="F1768" s="26">
        <f>IFERROR(__xludf.DUMMYFUNCTION("""COMPUTED_VALUE"""),319.968)</f>
        <v>319.968</v>
      </c>
      <c r="G1768" s="26">
        <f>IFERROR(__xludf.DUMMYFUNCTION("""COMPUTED_VALUE"""),4.0)</f>
        <v>4</v>
      </c>
      <c r="H1768" s="26">
        <f>IFERROR(__xludf.DUMMYFUNCTION("""COMPUTED_VALUE"""),95.9904)</f>
        <v>95.9904</v>
      </c>
    </row>
    <row r="1769">
      <c r="A1769" s="26" t="str">
        <f>IFERROR(__xludf.DUMMYFUNCTION("""COMPUTED_VALUE"""),"CA-2014-133963")</f>
        <v>CA-2014-133963</v>
      </c>
      <c r="B1769" s="27">
        <f>IFERROR(__xludf.DUMMYFUNCTION("""COMPUTED_VALUE"""),41777.0)</f>
        <v>41777</v>
      </c>
      <c r="C1769" s="26" t="str">
        <f>IFERROR(__xludf.DUMMYFUNCTION("""COMPUTED_VALUE"""),"Consumer")</f>
        <v>Consumer</v>
      </c>
      <c r="D1769" s="26" t="str">
        <f>IFERROR(__xludf.DUMMYFUNCTION("""COMPUTED_VALUE"""),"Texas")</f>
        <v>Texas</v>
      </c>
      <c r="E1769" s="26" t="str">
        <f>IFERROR(__xludf.DUMMYFUNCTION("""COMPUTED_VALUE"""),"Central")</f>
        <v>Central</v>
      </c>
      <c r="F1769" s="26">
        <f>IFERROR(__xludf.DUMMYFUNCTION("""COMPUTED_VALUE"""),3.984)</f>
        <v>3.984</v>
      </c>
      <c r="G1769" s="26">
        <f>IFERROR(__xludf.DUMMYFUNCTION("""COMPUTED_VALUE"""),1.0)</f>
        <v>1</v>
      </c>
      <c r="H1769" s="26">
        <f>IFERROR(__xludf.DUMMYFUNCTION("""COMPUTED_VALUE"""),1.4442)</f>
        <v>1.4442</v>
      </c>
    </row>
    <row r="1770">
      <c r="A1770" s="26" t="str">
        <f>IFERROR(__xludf.DUMMYFUNCTION("""COMPUTED_VALUE"""),"CA-2014-163867")</f>
        <v>CA-2014-163867</v>
      </c>
      <c r="B1770" s="27">
        <f>IFERROR(__xludf.DUMMYFUNCTION("""COMPUTED_VALUE"""),41793.0)</f>
        <v>41793</v>
      </c>
      <c r="C1770" s="26" t="str">
        <f>IFERROR(__xludf.DUMMYFUNCTION("""COMPUTED_VALUE"""),"Consumer")</f>
        <v>Consumer</v>
      </c>
      <c r="D1770" s="26" t="str">
        <f>IFERROR(__xludf.DUMMYFUNCTION("""COMPUTED_VALUE"""),"Illinois")</f>
        <v>Illinois</v>
      </c>
      <c r="E1770" s="26" t="str">
        <f>IFERROR(__xludf.DUMMYFUNCTION("""COMPUTED_VALUE"""),"Central")</f>
        <v>Central</v>
      </c>
      <c r="F1770" s="26">
        <f>IFERROR(__xludf.DUMMYFUNCTION("""COMPUTED_VALUE"""),15.936)</f>
        <v>15.936</v>
      </c>
      <c r="G1770" s="26">
        <f>IFERROR(__xludf.DUMMYFUNCTION("""COMPUTED_VALUE"""),4.0)</f>
        <v>4</v>
      </c>
      <c r="H1770" s="26">
        <f>IFERROR(__xludf.DUMMYFUNCTION("""COMPUTED_VALUE"""),5.1792)</f>
        <v>5.1792</v>
      </c>
    </row>
    <row r="1771">
      <c r="A1771" s="26" t="str">
        <f>IFERROR(__xludf.DUMMYFUNCTION("""COMPUTED_VALUE"""),"CA-2014-146997")</f>
        <v>CA-2014-146997</v>
      </c>
      <c r="B1771" s="27">
        <f>IFERROR(__xludf.DUMMYFUNCTION("""COMPUTED_VALUE"""),41662.0)</f>
        <v>41662</v>
      </c>
      <c r="C1771" s="26" t="str">
        <f>IFERROR(__xludf.DUMMYFUNCTION("""COMPUTED_VALUE"""),"Consumer")</f>
        <v>Consumer</v>
      </c>
      <c r="D1771" s="26" t="str">
        <f>IFERROR(__xludf.DUMMYFUNCTION("""COMPUTED_VALUE"""),"Indiana")</f>
        <v>Indiana</v>
      </c>
      <c r="E1771" s="26" t="str">
        <f>IFERROR(__xludf.DUMMYFUNCTION("""COMPUTED_VALUE"""),"Central")</f>
        <v>Central</v>
      </c>
      <c r="F1771" s="26">
        <f>IFERROR(__xludf.DUMMYFUNCTION("""COMPUTED_VALUE"""),5.94)</f>
        <v>5.94</v>
      </c>
      <c r="G1771" s="26">
        <f>IFERROR(__xludf.DUMMYFUNCTION("""COMPUTED_VALUE"""),3.0)</f>
        <v>3</v>
      </c>
      <c r="H1771" s="26">
        <f>IFERROR(__xludf.DUMMYFUNCTION("""COMPUTED_VALUE"""),0.0)</f>
        <v>0</v>
      </c>
    </row>
    <row r="1772">
      <c r="A1772" s="26" t="str">
        <f>IFERROR(__xludf.DUMMYFUNCTION("""COMPUTED_VALUE"""),"CA-2014-115049")</f>
        <v>CA-2014-115049</v>
      </c>
      <c r="B1772" s="27">
        <f>IFERROR(__xludf.DUMMYFUNCTION("""COMPUTED_VALUE"""),41908.0)</f>
        <v>41908</v>
      </c>
      <c r="C1772" s="26" t="str">
        <f>IFERROR(__xludf.DUMMYFUNCTION("""COMPUTED_VALUE"""),"Consumer")</f>
        <v>Consumer</v>
      </c>
      <c r="D1772" s="26" t="str">
        <f>IFERROR(__xludf.DUMMYFUNCTION("""COMPUTED_VALUE"""),"Illinois")</f>
        <v>Illinois</v>
      </c>
      <c r="E1772" s="26" t="str">
        <f>IFERROR(__xludf.DUMMYFUNCTION("""COMPUTED_VALUE"""),"Central")</f>
        <v>Central</v>
      </c>
      <c r="F1772" s="26">
        <f>IFERROR(__xludf.DUMMYFUNCTION("""COMPUTED_VALUE"""),153.824)</f>
        <v>153.824</v>
      </c>
      <c r="G1772" s="26">
        <f>IFERROR(__xludf.DUMMYFUNCTION("""COMPUTED_VALUE"""),11.0)</f>
        <v>11</v>
      </c>
      <c r="H1772" s="26">
        <f>IFERROR(__xludf.DUMMYFUNCTION("""COMPUTED_VALUE"""),38.456)</f>
        <v>38.456</v>
      </c>
    </row>
    <row r="1773">
      <c r="A1773" s="26" t="str">
        <f>IFERROR(__xludf.DUMMYFUNCTION("""COMPUTED_VALUE"""),"CA-2014-156342")</f>
        <v>CA-2014-156342</v>
      </c>
      <c r="B1773" s="27">
        <f>IFERROR(__xludf.DUMMYFUNCTION("""COMPUTED_VALUE"""),41807.0)</f>
        <v>41807</v>
      </c>
      <c r="C1773" s="26" t="str">
        <f>IFERROR(__xludf.DUMMYFUNCTION("""COMPUTED_VALUE"""),"Consumer")</f>
        <v>Consumer</v>
      </c>
      <c r="D1773" s="26" t="str">
        <f>IFERROR(__xludf.DUMMYFUNCTION("""COMPUTED_VALUE"""),"Illinois")</f>
        <v>Illinois</v>
      </c>
      <c r="E1773" s="26" t="str">
        <f>IFERROR(__xludf.DUMMYFUNCTION("""COMPUTED_VALUE"""),"Central")</f>
        <v>Central</v>
      </c>
      <c r="F1773" s="26">
        <f>IFERROR(__xludf.DUMMYFUNCTION("""COMPUTED_VALUE"""),62.016)</f>
        <v>62.016</v>
      </c>
      <c r="G1773" s="26">
        <f>IFERROR(__xludf.DUMMYFUNCTION("""COMPUTED_VALUE"""),2.0)</f>
        <v>2</v>
      </c>
      <c r="H1773" s="26">
        <f>IFERROR(__xludf.DUMMYFUNCTION("""COMPUTED_VALUE"""),22.4808)</f>
        <v>22.4808</v>
      </c>
    </row>
    <row r="1774">
      <c r="A1774" s="26" t="str">
        <f>IFERROR(__xludf.DUMMYFUNCTION("""COMPUTED_VALUE"""),"CA-2014-122609")</f>
        <v>CA-2014-122609</v>
      </c>
      <c r="B1774" s="29">
        <f>IFERROR(__xludf.DUMMYFUNCTION("""COMPUTED_VALUE"""),41955.0)</f>
        <v>41955</v>
      </c>
      <c r="C1774" s="26" t="str">
        <f>IFERROR(__xludf.DUMMYFUNCTION("""COMPUTED_VALUE"""),"Consumer")</f>
        <v>Consumer</v>
      </c>
      <c r="D1774" s="26" t="str">
        <f>IFERROR(__xludf.DUMMYFUNCTION("""COMPUTED_VALUE"""),"Texas")</f>
        <v>Texas</v>
      </c>
      <c r="E1774" s="26" t="str">
        <f>IFERROR(__xludf.DUMMYFUNCTION("""COMPUTED_VALUE"""),"Central")</f>
        <v>Central</v>
      </c>
      <c r="F1774" s="26">
        <f>IFERROR(__xludf.DUMMYFUNCTION("""COMPUTED_VALUE"""),25.128)</f>
        <v>25.128</v>
      </c>
      <c r="G1774" s="26">
        <f>IFERROR(__xludf.DUMMYFUNCTION("""COMPUTED_VALUE"""),3.0)</f>
        <v>3</v>
      </c>
      <c r="H1774" s="26">
        <f>IFERROR(__xludf.DUMMYFUNCTION("""COMPUTED_VALUE"""),-6.9102)</f>
        <v>-6.9102</v>
      </c>
    </row>
    <row r="1775">
      <c r="A1775" s="26" t="str">
        <f>IFERROR(__xludf.DUMMYFUNCTION("""COMPUTED_VALUE"""),"US-2015-118983")</f>
        <v>US-2015-118983</v>
      </c>
      <c r="B1775" s="27">
        <f>IFERROR(__xludf.DUMMYFUNCTION("""COMPUTED_VALUE"""),42330.0)</f>
        <v>42330</v>
      </c>
      <c r="C1775" s="26" t="str">
        <f>IFERROR(__xludf.DUMMYFUNCTION("""COMPUTED_VALUE"""),"Harold Pawlan")</f>
        <v>Harold Pawlan</v>
      </c>
      <c r="D1775" s="26" t="str">
        <f>IFERROR(__xludf.DUMMYFUNCTION("""COMPUTED_VALUE"""),"Home Office")</f>
        <v>Home Office</v>
      </c>
      <c r="E1775" s="26" t="str">
        <f>IFERROR(__xludf.DUMMYFUNCTION("""COMPUTED_VALUE"""),"Central")</f>
        <v>Central</v>
      </c>
      <c r="F1775" s="26">
        <f>IFERROR(__xludf.DUMMYFUNCTION("""COMPUTED_VALUE"""),68.81)</f>
        <v>68.81</v>
      </c>
      <c r="G1775" s="26">
        <f>IFERROR(__xludf.DUMMYFUNCTION("""COMPUTED_VALUE"""),5.0)</f>
        <v>5</v>
      </c>
      <c r="H1775" s="26">
        <f>IFERROR(__xludf.DUMMYFUNCTION("""COMPUTED_VALUE"""),-123.858)</f>
        <v>-123.858</v>
      </c>
    </row>
    <row r="1776">
      <c r="A1776" s="26" t="str">
        <f>IFERROR(__xludf.DUMMYFUNCTION("""COMPUTED_VALUE"""),"CA-2015-117415")</f>
        <v>CA-2015-117415</v>
      </c>
      <c r="B1776" s="27">
        <f>IFERROR(__xludf.DUMMYFUNCTION("""COMPUTED_VALUE"""),42365.0)</f>
        <v>42365</v>
      </c>
      <c r="C1776" s="26" t="str">
        <f>IFERROR(__xludf.DUMMYFUNCTION("""COMPUTED_VALUE"""),"Steve Nguyen")</f>
        <v>Steve Nguyen</v>
      </c>
      <c r="D1776" s="26" t="str">
        <f>IFERROR(__xludf.DUMMYFUNCTION("""COMPUTED_VALUE"""),"Home Office")</f>
        <v>Home Office</v>
      </c>
      <c r="E1776" s="26" t="str">
        <f>IFERROR(__xludf.DUMMYFUNCTION("""COMPUTED_VALUE"""),"Central")</f>
        <v>Central</v>
      </c>
      <c r="F1776" s="26">
        <f>IFERROR(__xludf.DUMMYFUNCTION("""COMPUTED_VALUE"""),113.328)</f>
        <v>113.328</v>
      </c>
      <c r="G1776" s="26">
        <f>IFERROR(__xludf.DUMMYFUNCTION("""COMPUTED_VALUE"""),9.0)</f>
        <v>9</v>
      </c>
      <c r="H1776" s="26">
        <f>IFERROR(__xludf.DUMMYFUNCTION("""COMPUTED_VALUE"""),35.415)</f>
        <v>35.415</v>
      </c>
    </row>
    <row r="1777">
      <c r="A1777" s="26" t="str">
        <f>IFERROR(__xludf.DUMMYFUNCTION("""COMPUTED_VALUE"""),"CA-2015-115742")</f>
        <v>CA-2015-115742</v>
      </c>
      <c r="B1777" s="27">
        <f>IFERROR(__xludf.DUMMYFUNCTION("""COMPUTED_VALUE"""),42112.0)</f>
        <v>42112</v>
      </c>
      <c r="C1777" s="26" t="str">
        <f>IFERROR(__xludf.DUMMYFUNCTION("""COMPUTED_VALUE"""),"Darren Powers")</f>
        <v>Darren Powers</v>
      </c>
      <c r="D1777" s="26" t="str">
        <f>IFERROR(__xludf.DUMMYFUNCTION("""COMPUTED_VALUE"""),"Consumer")</f>
        <v>Consumer</v>
      </c>
      <c r="E1777" s="26" t="str">
        <f>IFERROR(__xludf.DUMMYFUNCTION("""COMPUTED_VALUE"""),"Central")</f>
        <v>Central</v>
      </c>
      <c r="F1777" s="26">
        <f>IFERROR(__xludf.DUMMYFUNCTION("""COMPUTED_VALUE"""),38.22)</f>
        <v>38.22</v>
      </c>
      <c r="G1777" s="26">
        <f>IFERROR(__xludf.DUMMYFUNCTION("""COMPUTED_VALUE"""),6.0)</f>
        <v>6</v>
      </c>
      <c r="H1777" s="26">
        <f>IFERROR(__xludf.DUMMYFUNCTION("""COMPUTED_VALUE"""),17.9634)</f>
        <v>17.9634</v>
      </c>
    </row>
    <row r="1778">
      <c r="A1778" s="26" t="str">
        <f>IFERROR(__xludf.DUMMYFUNCTION("""COMPUTED_VALUE"""),"US-2015-164175")</f>
        <v>US-2015-164175</v>
      </c>
      <c r="B1778" s="27">
        <f>IFERROR(__xludf.DUMMYFUNCTION("""COMPUTED_VALUE"""),42124.0)</f>
        <v>42124</v>
      </c>
      <c r="C1778" s="26" t="str">
        <f>IFERROR(__xludf.DUMMYFUNCTION("""COMPUTED_VALUE"""),"Paul Stevenson")</f>
        <v>Paul Stevenson</v>
      </c>
      <c r="D1778" s="26" t="str">
        <f>IFERROR(__xludf.DUMMYFUNCTION("""COMPUTED_VALUE"""),"Home Office")</f>
        <v>Home Office</v>
      </c>
      <c r="E1778" s="26" t="str">
        <f>IFERROR(__xludf.DUMMYFUNCTION("""COMPUTED_VALUE"""),"Central")</f>
        <v>Central</v>
      </c>
      <c r="F1778" s="26">
        <f>IFERROR(__xludf.DUMMYFUNCTION("""COMPUTED_VALUE"""),213.115)</f>
        <v>213.115</v>
      </c>
      <c r="G1778" s="26">
        <f>IFERROR(__xludf.DUMMYFUNCTION("""COMPUTED_VALUE"""),5.0)</f>
        <v>5</v>
      </c>
      <c r="H1778" s="26">
        <f>IFERROR(__xludf.DUMMYFUNCTION("""COMPUTED_VALUE"""),-15.2225)</f>
        <v>-15.2225</v>
      </c>
    </row>
    <row r="1779">
      <c r="A1779" s="26" t="str">
        <f>IFERROR(__xludf.DUMMYFUNCTION("""COMPUTED_VALUE"""),"CA-2015-149587")</f>
        <v>CA-2015-149587</v>
      </c>
      <c r="B1779" s="27">
        <f>IFERROR(__xludf.DUMMYFUNCTION("""COMPUTED_VALUE"""),42035.0)</f>
        <v>42035</v>
      </c>
      <c r="C1779" s="26" t="str">
        <f>IFERROR(__xludf.DUMMYFUNCTION("""COMPUTED_VALUE"""),"Karl Braun")</f>
        <v>Karl Braun</v>
      </c>
      <c r="D1779" s="26" t="str">
        <f>IFERROR(__xludf.DUMMYFUNCTION("""COMPUTED_VALUE"""),"Consumer")</f>
        <v>Consumer</v>
      </c>
      <c r="E1779" s="26" t="str">
        <f>IFERROR(__xludf.DUMMYFUNCTION("""COMPUTED_VALUE"""),"Central")</f>
        <v>Central</v>
      </c>
      <c r="F1779" s="26">
        <f>IFERROR(__xludf.DUMMYFUNCTION("""COMPUTED_VALUE"""),12.96)</f>
        <v>12.96</v>
      </c>
      <c r="G1779" s="26">
        <f>IFERROR(__xludf.DUMMYFUNCTION("""COMPUTED_VALUE"""),2.0)</f>
        <v>2</v>
      </c>
      <c r="H1779" s="26">
        <f>IFERROR(__xludf.DUMMYFUNCTION("""COMPUTED_VALUE"""),6.2208)</f>
        <v>6.2208</v>
      </c>
    </row>
    <row r="1780">
      <c r="A1780" s="26" t="str">
        <f>IFERROR(__xludf.DUMMYFUNCTION("""COMPUTED_VALUE"""),"CA-2015-129476")</f>
        <v>CA-2015-129476</v>
      </c>
      <c r="B1780" s="27">
        <f>IFERROR(__xludf.DUMMYFUNCTION("""COMPUTED_VALUE"""),42292.0)</f>
        <v>42292</v>
      </c>
      <c r="C1780" s="26" t="str">
        <f>IFERROR(__xludf.DUMMYFUNCTION("""COMPUTED_VALUE"""),"Pete Armstrong")</f>
        <v>Pete Armstrong</v>
      </c>
      <c r="D1780" s="26" t="str">
        <f>IFERROR(__xludf.DUMMYFUNCTION("""COMPUTED_VALUE"""),"Home Office")</f>
        <v>Home Office</v>
      </c>
      <c r="E1780" s="26" t="str">
        <f>IFERROR(__xludf.DUMMYFUNCTION("""COMPUTED_VALUE"""),"Central")</f>
        <v>Central</v>
      </c>
      <c r="F1780" s="26">
        <f>IFERROR(__xludf.DUMMYFUNCTION("""COMPUTED_VALUE"""),339.96)</f>
        <v>339.96</v>
      </c>
      <c r="G1780" s="26">
        <f>IFERROR(__xludf.DUMMYFUNCTION("""COMPUTED_VALUE"""),5.0)</f>
        <v>5</v>
      </c>
      <c r="H1780" s="26">
        <f>IFERROR(__xludf.DUMMYFUNCTION("""COMPUTED_VALUE"""),67.992)</f>
        <v>67.992</v>
      </c>
    </row>
    <row r="1781">
      <c r="A1781" s="26" t="str">
        <f>IFERROR(__xludf.DUMMYFUNCTION("""COMPUTED_VALUE"""),"CA-2015-101007")</f>
        <v>CA-2015-101007</v>
      </c>
      <c r="B1781" s="27">
        <f>IFERROR(__xludf.DUMMYFUNCTION("""COMPUTED_VALUE"""),42044.0)</f>
        <v>42044</v>
      </c>
      <c r="C1781" s="26" t="str">
        <f>IFERROR(__xludf.DUMMYFUNCTION("""COMPUTED_VALUE"""),"Michael Stewart")</f>
        <v>Michael Stewart</v>
      </c>
      <c r="D1781" s="26" t="str">
        <f>IFERROR(__xludf.DUMMYFUNCTION("""COMPUTED_VALUE"""),"Corporate")</f>
        <v>Corporate</v>
      </c>
      <c r="E1781" s="26" t="str">
        <f>IFERROR(__xludf.DUMMYFUNCTION("""COMPUTED_VALUE"""),"Central")</f>
        <v>Central</v>
      </c>
      <c r="F1781" s="26">
        <f>IFERROR(__xludf.DUMMYFUNCTION("""COMPUTED_VALUE"""),20.8)</f>
        <v>20.8</v>
      </c>
      <c r="G1781" s="26">
        <f>IFERROR(__xludf.DUMMYFUNCTION("""COMPUTED_VALUE"""),2.0)</f>
        <v>2</v>
      </c>
      <c r="H1781" s="26">
        <f>IFERROR(__xludf.DUMMYFUNCTION("""COMPUTED_VALUE"""),6.5)</f>
        <v>6.5</v>
      </c>
    </row>
    <row r="1782">
      <c r="A1782" s="26" t="str">
        <f>IFERROR(__xludf.DUMMYFUNCTION("""COMPUTED_VALUE"""),"CA-2015-163055")</f>
        <v>CA-2015-163055</v>
      </c>
      <c r="B1782" s="27">
        <f>IFERROR(__xludf.DUMMYFUNCTION("""COMPUTED_VALUE"""),42225.0)</f>
        <v>42225</v>
      </c>
      <c r="C1782" s="26" t="str">
        <f>IFERROR(__xludf.DUMMYFUNCTION("""COMPUTED_VALUE"""),"David Smith")</f>
        <v>David Smith</v>
      </c>
      <c r="D1782" s="26" t="str">
        <f>IFERROR(__xludf.DUMMYFUNCTION("""COMPUTED_VALUE"""),"Corporate")</f>
        <v>Corporate</v>
      </c>
      <c r="E1782" s="26" t="str">
        <f>IFERROR(__xludf.DUMMYFUNCTION("""COMPUTED_VALUE"""),"Central")</f>
        <v>Central</v>
      </c>
      <c r="F1782" s="26">
        <f>IFERROR(__xludf.DUMMYFUNCTION("""COMPUTED_VALUE"""),2.2)</f>
        <v>2.2</v>
      </c>
      <c r="G1782" s="26">
        <f>IFERROR(__xludf.DUMMYFUNCTION("""COMPUTED_VALUE"""),1.0)</f>
        <v>1</v>
      </c>
      <c r="H1782" s="26">
        <f>IFERROR(__xludf.DUMMYFUNCTION("""COMPUTED_VALUE"""),0.968)</f>
        <v>0.968</v>
      </c>
    </row>
    <row r="1783">
      <c r="A1783" s="26" t="str">
        <f>IFERROR(__xludf.DUMMYFUNCTION("""COMPUTED_VALUE"""),"US-2015-159982")</f>
        <v>US-2015-159982</v>
      </c>
      <c r="B1783" s="27">
        <f>IFERROR(__xludf.DUMMYFUNCTION("""COMPUTED_VALUE"""),42336.0)</f>
        <v>42336</v>
      </c>
      <c r="C1783" s="26" t="str">
        <f>IFERROR(__xludf.DUMMYFUNCTION("""COMPUTED_VALUE"""),"Dan Reichenbach")</f>
        <v>Dan Reichenbach</v>
      </c>
      <c r="D1783" s="26" t="str">
        <f>IFERROR(__xludf.DUMMYFUNCTION("""COMPUTED_VALUE"""),"Corporate")</f>
        <v>Corporate</v>
      </c>
      <c r="E1783" s="26" t="str">
        <f>IFERROR(__xludf.DUMMYFUNCTION("""COMPUTED_VALUE"""),"Central")</f>
        <v>Central</v>
      </c>
      <c r="F1783" s="26">
        <f>IFERROR(__xludf.DUMMYFUNCTION("""COMPUTED_VALUE"""),12.132)</f>
        <v>12.132</v>
      </c>
      <c r="G1783" s="26">
        <f>IFERROR(__xludf.DUMMYFUNCTION("""COMPUTED_VALUE"""),9.0)</f>
        <v>9</v>
      </c>
      <c r="H1783" s="26">
        <f>IFERROR(__xludf.DUMMYFUNCTION("""COMPUTED_VALUE"""),-8.4924)</f>
        <v>-8.4924</v>
      </c>
    </row>
    <row r="1784">
      <c r="A1784" s="26" t="str">
        <f>IFERROR(__xludf.DUMMYFUNCTION("""COMPUTED_VALUE"""),"US-2015-161991")</f>
        <v>US-2015-161991</v>
      </c>
      <c r="B1784" s="27">
        <f>IFERROR(__xludf.DUMMYFUNCTION("""COMPUTED_VALUE"""),42273.0)</f>
        <v>42273</v>
      </c>
      <c r="C1784" s="26" t="str">
        <f>IFERROR(__xludf.DUMMYFUNCTION("""COMPUTED_VALUE"""),"Steven Cartwright")</f>
        <v>Steven Cartwright</v>
      </c>
      <c r="D1784" s="26" t="str">
        <f>IFERROR(__xludf.DUMMYFUNCTION("""COMPUTED_VALUE"""),"Consumer")</f>
        <v>Consumer</v>
      </c>
      <c r="E1784" s="26" t="str">
        <f>IFERROR(__xludf.DUMMYFUNCTION("""COMPUTED_VALUE"""),"Central")</f>
        <v>Central</v>
      </c>
      <c r="F1784" s="26">
        <f>IFERROR(__xludf.DUMMYFUNCTION("""COMPUTED_VALUE"""),2.08)</f>
        <v>2.08</v>
      </c>
      <c r="G1784" s="26">
        <f>IFERROR(__xludf.DUMMYFUNCTION("""COMPUTED_VALUE"""),5.0)</f>
        <v>5</v>
      </c>
      <c r="H1784" s="26">
        <f>IFERROR(__xludf.DUMMYFUNCTION("""COMPUTED_VALUE"""),-3.432)</f>
        <v>-3.432</v>
      </c>
    </row>
    <row r="1785">
      <c r="A1785" s="26" t="str">
        <f>IFERROR(__xludf.DUMMYFUNCTION("""COMPUTED_VALUE"""),"US-2015-120712")</f>
        <v>US-2015-120712</v>
      </c>
      <c r="B1785" s="27">
        <f>IFERROR(__xludf.DUMMYFUNCTION("""COMPUTED_VALUE"""),42358.0)</f>
        <v>42358</v>
      </c>
      <c r="C1785" s="26" t="str">
        <f>IFERROR(__xludf.DUMMYFUNCTION("""COMPUTED_VALUE"""),"Chad Sievert")</f>
        <v>Chad Sievert</v>
      </c>
      <c r="D1785" s="26" t="str">
        <f>IFERROR(__xludf.DUMMYFUNCTION("""COMPUTED_VALUE"""),"Consumer")</f>
        <v>Consumer</v>
      </c>
      <c r="E1785" s="26" t="str">
        <f>IFERROR(__xludf.DUMMYFUNCTION("""COMPUTED_VALUE"""),"Central")</f>
        <v>Central</v>
      </c>
      <c r="F1785" s="26">
        <f>IFERROR(__xludf.DUMMYFUNCTION("""COMPUTED_VALUE"""),88.8)</f>
        <v>88.8</v>
      </c>
      <c r="G1785" s="26">
        <f>IFERROR(__xludf.DUMMYFUNCTION("""COMPUTED_VALUE"""),4.0)</f>
        <v>4</v>
      </c>
      <c r="H1785" s="26">
        <f>IFERROR(__xludf.DUMMYFUNCTION("""COMPUTED_VALUE"""),-2.22)</f>
        <v>-2.22</v>
      </c>
    </row>
    <row r="1786">
      <c r="A1786" s="26" t="str">
        <f>IFERROR(__xludf.DUMMYFUNCTION("""COMPUTED_VALUE"""),"CA-2015-130792")</f>
        <v>CA-2015-130792</v>
      </c>
      <c r="B1786" s="27">
        <f>IFERROR(__xludf.DUMMYFUNCTION("""COMPUTED_VALUE"""),42122.0)</f>
        <v>42122</v>
      </c>
      <c r="C1786" s="26" t="str">
        <f>IFERROR(__xludf.DUMMYFUNCTION("""COMPUTED_VALUE"""),"Russell Applegate")</f>
        <v>Russell Applegate</v>
      </c>
      <c r="D1786" s="26" t="str">
        <f>IFERROR(__xludf.DUMMYFUNCTION("""COMPUTED_VALUE"""),"Consumer")</f>
        <v>Consumer</v>
      </c>
      <c r="E1786" s="26" t="str">
        <f>IFERROR(__xludf.DUMMYFUNCTION("""COMPUTED_VALUE"""),"Central")</f>
        <v>Central</v>
      </c>
      <c r="F1786" s="26">
        <f>IFERROR(__xludf.DUMMYFUNCTION("""COMPUTED_VALUE"""),8.652)</f>
        <v>8.652</v>
      </c>
      <c r="G1786" s="26">
        <f>IFERROR(__xludf.DUMMYFUNCTION("""COMPUTED_VALUE"""),3.0)</f>
        <v>3</v>
      </c>
      <c r="H1786" s="26">
        <f>IFERROR(__xludf.DUMMYFUNCTION("""COMPUTED_VALUE"""),-20.3322)</f>
        <v>-20.3322</v>
      </c>
    </row>
    <row r="1787">
      <c r="A1787" s="26" t="str">
        <f>IFERROR(__xludf.DUMMYFUNCTION("""COMPUTED_VALUE"""),"CA-2015-125395")</f>
        <v>CA-2015-125395</v>
      </c>
      <c r="B1787" s="27">
        <f>IFERROR(__xludf.DUMMYFUNCTION("""COMPUTED_VALUE"""),42181.0)</f>
        <v>42181</v>
      </c>
      <c r="C1787" s="26" t="str">
        <f>IFERROR(__xludf.DUMMYFUNCTION("""COMPUTED_VALUE"""),"Laura Armstrong")</f>
        <v>Laura Armstrong</v>
      </c>
      <c r="D1787" s="26" t="str">
        <f>IFERROR(__xludf.DUMMYFUNCTION("""COMPUTED_VALUE"""),"Corporate")</f>
        <v>Corporate</v>
      </c>
      <c r="E1787" s="26" t="str">
        <f>IFERROR(__xludf.DUMMYFUNCTION("""COMPUTED_VALUE"""),"Central")</f>
        <v>Central</v>
      </c>
      <c r="F1787" s="26">
        <f>IFERROR(__xludf.DUMMYFUNCTION("""COMPUTED_VALUE"""),41.9)</f>
        <v>41.9</v>
      </c>
      <c r="G1787" s="26">
        <f>IFERROR(__xludf.DUMMYFUNCTION("""COMPUTED_VALUE"""),2.0)</f>
        <v>2</v>
      </c>
      <c r="H1787" s="26">
        <f>IFERROR(__xludf.DUMMYFUNCTION("""COMPUTED_VALUE"""),8.799)</f>
        <v>8.799</v>
      </c>
    </row>
    <row r="1788">
      <c r="A1788" s="26" t="str">
        <f>IFERROR(__xludf.DUMMYFUNCTION("""COMPUTED_VALUE"""),"CA-2015-122259")</f>
        <v>CA-2015-122259</v>
      </c>
      <c r="B1788" s="27">
        <f>IFERROR(__xludf.DUMMYFUNCTION("""COMPUTED_VALUE"""),42308.0)</f>
        <v>42308</v>
      </c>
      <c r="C1788" s="26" t="str">
        <f>IFERROR(__xludf.DUMMYFUNCTION("""COMPUTED_VALUE"""),"Harold Pawlan")</f>
        <v>Harold Pawlan</v>
      </c>
      <c r="D1788" s="26" t="str">
        <f>IFERROR(__xludf.DUMMYFUNCTION("""COMPUTED_VALUE"""),"Home Office")</f>
        <v>Home Office</v>
      </c>
      <c r="E1788" s="26" t="str">
        <f>IFERROR(__xludf.DUMMYFUNCTION("""COMPUTED_VALUE"""),"Central")</f>
        <v>Central</v>
      </c>
      <c r="F1788" s="26">
        <f>IFERROR(__xludf.DUMMYFUNCTION("""COMPUTED_VALUE"""),70.12)</f>
        <v>70.12</v>
      </c>
      <c r="G1788" s="26">
        <f>IFERROR(__xludf.DUMMYFUNCTION("""COMPUTED_VALUE"""),4.0)</f>
        <v>4</v>
      </c>
      <c r="H1788" s="26">
        <f>IFERROR(__xludf.DUMMYFUNCTION("""COMPUTED_VALUE"""),21.036)</f>
        <v>21.036</v>
      </c>
    </row>
    <row r="1789">
      <c r="A1789" s="26" t="str">
        <f>IFERROR(__xludf.DUMMYFUNCTION("""COMPUTED_VALUE"""),"US-2015-101399")</f>
        <v>US-2015-101399</v>
      </c>
      <c r="B1789" s="27">
        <f>IFERROR(__xludf.DUMMYFUNCTION("""COMPUTED_VALUE"""),42021.0)</f>
        <v>42021</v>
      </c>
      <c r="C1789" s="26" t="str">
        <f>IFERROR(__xludf.DUMMYFUNCTION("""COMPUTED_VALUE"""),"Joni Sundaresam")</f>
        <v>Joni Sundaresam</v>
      </c>
      <c r="D1789" s="26" t="str">
        <f>IFERROR(__xludf.DUMMYFUNCTION("""COMPUTED_VALUE"""),"Home Office")</f>
        <v>Home Office</v>
      </c>
      <c r="E1789" s="26" t="str">
        <f>IFERROR(__xludf.DUMMYFUNCTION("""COMPUTED_VALUE"""),"Central")</f>
        <v>Central</v>
      </c>
      <c r="F1789" s="26">
        <f>IFERROR(__xludf.DUMMYFUNCTION("""COMPUTED_VALUE"""),254.744)</f>
        <v>254.744</v>
      </c>
      <c r="G1789" s="26">
        <f>IFERROR(__xludf.DUMMYFUNCTION("""COMPUTED_VALUE"""),7.0)</f>
        <v>7</v>
      </c>
      <c r="H1789" s="26">
        <f>IFERROR(__xludf.DUMMYFUNCTION("""COMPUTED_VALUE"""),-312.0614)</f>
        <v>-312.0614</v>
      </c>
    </row>
    <row r="1790">
      <c r="A1790" s="26" t="str">
        <f>IFERROR(__xludf.DUMMYFUNCTION("""COMPUTED_VALUE"""),"CA-2015-157812")</f>
        <v>CA-2015-157812</v>
      </c>
      <c r="B1790" s="27">
        <f>IFERROR(__xludf.DUMMYFUNCTION("""COMPUTED_VALUE"""),42085.0)</f>
        <v>42085</v>
      </c>
      <c r="C1790" s="26" t="str">
        <f>IFERROR(__xludf.DUMMYFUNCTION("""COMPUTED_VALUE"""),"Dean Braden")</f>
        <v>Dean Braden</v>
      </c>
      <c r="D1790" s="26" t="str">
        <f>IFERROR(__xludf.DUMMYFUNCTION("""COMPUTED_VALUE"""),"Consumer")</f>
        <v>Consumer</v>
      </c>
      <c r="E1790" s="26" t="str">
        <f>IFERROR(__xludf.DUMMYFUNCTION("""COMPUTED_VALUE"""),"Central")</f>
        <v>Central</v>
      </c>
      <c r="F1790" s="26">
        <f>IFERROR(__xludf.DUMMYFUNCTION("""COMPUTED_VALUE"""),18.392)</f>
        <v>18.392</v>
      </c>
      <c r="G1790" s="26">
        <f>IFERROR(__xludf.DUMMYFUNCTION("""COMPUTED_VALUE"""),1.0)</f>
        <v>1</v>
      </c>
      <c r="H1790" s="26">
        <f>IFERROR(__xludf.DUMMYFUNCTION("""COMPUTED_VALUE"""),5.2877)</f>
        <v>5.2877</v>
      </c>
    </row>
    <row r="1791">
      <c r="A1791" s="26" t="str">
        <f>IFERROR(__xludf.DUMMYFUNCTION("""COMPUTED_VALUE"""),"CA-2015-113173")</f>
        <v>CA-2015-113173</v>
      </c>
      <c r="B1791" s="27">
        <f>IFERROR(__xludf.DUMMYFUNCTION("""COMPUTED_VALUE"""),42323.0)</f>
        <v>42323</v>
      </c>
      <c r="C1791" s="26" t="str">
        <f>IFERROR(__xludf.DUMMYFUNCTION("""COMPUTED_VALUE"""),"Dean Katz")</f>
        <v>Dean Katz</v>
      </c>
      <c r="D1791" s="26" t="str">
        <f>IFERROR(__xludf.DUMMYFUNCTION("""COMPUTED_VALUE"""),"Corporate")</f>
        <v>Corporate</v>
      </c>
      <c r="E1791" s="26" t="str">
        <f>IFERROR(__xludf.DUMMYFUNCTION("""COMPUTED_VALUE"""),"Central")</f>
        <v>Central</v>
      </c>
      <c r="F1791" s="26">
        <f>IFERROR(__xludf.DUMMYFUNCTION("""COMPUTED_VALUE"""),250.272)</f>
        <v>250.272</v>
      </c>
      <c r="G1791" s="26">
        <f>IFERROR(__xludf.DUMMYFUNCTION("""COMPUTED_VALUE"""),9.0)</f>
        <v>9</v>
      </c>
      <c r="H1791" s="26">
        <f>IFERROR(__xludf.DUMMYFUNCTION("""COMPUTED_VALUE"""),15.642)</f>
        <v>15.642</v>
      </c>
    </row>
    <row r="1792">
      <c r="A1792" s="26" t="str">
        <f>IFERROR(__xludf.DUMMYFUNCTION("""COMPUTED_VALUE"""),"CA-2015-138009")</f>
        <v>CA-2015-138009</v>
      </c>
      <c r="B1792" s="27">
        <f>IFERROR(__xludf.DUMMYFUNCTION("""COMPUTED_VALUE"""),42337.0)</f>
        <v>42337</v>
      </c>
      <c r="C1792" s="26" t="str">
        <f>IFERROR(__xludf.DUMMYFUNCTION("""COMPUTED_VALUE"""),"Sylvia Foulston")</f>
        <v>Sylvia Foulston</v>
      </c>
      <c r="D1792" s="26" t="str">
        <f>IFERROR(__xludf.DUMMYFUNCTION("""COMPUTED_VALUE"""),"Corporate")</f>
        <v>Corporate</v>
      </c>
      <c r="E1792" s="26" t="str">
        <f>IFERROR(__xludf.DUMMYFUNCTION("""COMPUTED_VALUE"""),"Central")</f>
        <v>Central</v>
      </c>
      <c r="F1792" s="26">
        <f>IFERROR(__xludf.DUMMYFUNCTION("""COMPUTED_VALUE"""),301.96)</f>
        <v>301.96</v>
      </c>
      <c r="G1792" s="26">
        <f>IFERROR(__xludf.DUMMYFUNCTION("""COMPUTED_VALUE"""),2.0)</f>
        <v>2</v>
      </c>
      <c r="H1792" s="26">
        <f>IFERROR(__xludf.DUMMYFUNCTION("""COMPUTED_VALUE"""),87.5684)</f>
        <v>87.5684</v>
      </c>
    </row>
    <row r="1793">
      <c r="A1793" s="26" t="str">
        <f>IFERROR(__xludf.DUMMYFUNCTION("""COMPUTED_VALUE"""),"CA-2015-146563")</f>
        <v>CA-2015-146563</v>
      </c>
      <c r="B1793" s="27">
        <f>IFERROR(__xludf.DUMMYFUNCTION("""COMPUTED_VALUE"""),42240.0)</f>
        <v>42240</v>
      </c>
      <c r="C1793" s="26" t="str">
        <f>IFERROR(__xludf.DUMMYFUNCTION("""COMPUTED_VALUE"""),"Cassandra Brandow")</f>
        <v>Cassandra Brandow</v>
      </c>
      <c r="D1793" s="26" t="str">
        <f>IFERROR(__xludf.DUMMYFUNCTION("""COMPUTED_VALUE"""),"Consumer")</f>
        <v>Consumer</v>
      </c>
      <c r="E1793" s="26" t="str">
        <f>IFERROR(__xludf.DUMMYFUNCTION("""COMPUTED_VALUE"""),"Central")</f>
        <v>Central</v>
      </c>
      <c r="F1793" s="26">
        <f>IFERROR(__xludf.DUMMYFUNCTION("""COMPUTED_VALUE"""),999.432)</f>
        <v>999.432</v>
      </c>
      <c r="G1793" s="26">
        <f>IFERROR(__xludf.DUMMYFUNCTION("""COMPUTED_VALUE"""),7.0)</f>
        <v>7</v>
      </c>
      <c r="H1793" s="26">
        <f>IFERROR(__xludf.DUMMYFUNCTION("""COMPUTED_VALUE"""),124.929)</f>
        <v>124.929</v>
      </c>
    </row>
    <row r="1794">
      <c r="A1794" s="26" t="str">
        <f>IFERROR(__xludf.DUMMYFUNCTION("""COMPUTED_VALUE"""),"CA-2015-140921")</f>
        <v>CA-2015-140921</v>
      </c>
      <c r="B1794" s="27">
        <f>IFERROR(__xludf.DUMMYFUNCTION("""COMPUTED_VALUE"""),42038.0)</f>
        <v>42038</v>
      </c>
      <c r="C1794" s="26" t="str">
        <f>IFERROR(__xludf.DUMMYFUNCTION("""COMPUTED_VALUE"""),"Allen Armold")</f>
        <v>Allen Armold</v>
      </c>
      <c r="D1794" s="26" t="str">
        <f>IFERROR(__xludf.DUMMYFUNCTION("""COMPUTED_VALUE"""),"Consumer")</f>
        <v>Consumer</v>
      </c>
      <c r="E1794" s="26" t="str">
        <f>IFERROR(__xludf.DUMMYFUNCTION("""COMPUTED_VALUE"""),"Central")</f>
        <v>Central</v>
      </c>
      <c r="F1794" s="26">
        <f>IFERROR(__xludf.DUMMYFUNCTION("""COMPUTED_VALUE"""),28.4)</f>
        <v>28.4</v>
      </c>
      <c r="G1794" s="26">
        <f>IFERROR(__xludf.DUMMYFUNCTION("""COMPUTED_VALUE"""),2.0)</f>
        <v>2</v>
      </c>
      <c r="H1794" s="26">
        <f>IFERROR(__xludf.DUMMYFUNCTION("""COMPUTED_VALUE"""),11.076)</f>
        <v>11.076</v>
      </c>
    </row>
    <row r="1795">
      <c r="A1795" s="26" t="str">
        <f>IFERROR(__xludf.DUMMYFUNCTION("""COMPUTED_VALUE"""),"CA-2015-106565")</f>
        <v>CA-2015-106565</v>
      </c>
      <c r="B1795" s="27">
        <f>IFERROR(__xludf.DUMMYFUNCTION("""COMPUTED_VALUE"""),42083.0)</f>
        <v>42083</v>
      </c>
      <c r="C1795" s="26" t="str">
        <f>IFERROR(__xludf.DUMMYFUNCTION("""COMPUTED_VALUE"""),"Bart Watters")</f>
        <v>Bart Watters</v>
      </c>
      <c r="D1795" s="26" t="str">
        <f>IFERROR(__xludf.DUMMYFUNCTION("""COMPUTED_VALUE"""),"Corporate")</f>
        <v>Corporate</v>
      </c>
      <c r="E1795" s="26" t="str">
        <f>IFERROR(__xludf.DUMMYFUNCTION("""COMPUTED_VALUE"""),"Central")</f>
        <v>Central</v>
      </c>
      <c r="F1795" s="26">
        <f>IFERROR(__xludf.DUMMYFUNCTION("""COMPUTED_VALUE"""),51.84)</f>
        <v>51.84</v>
      </c>
      <c r="G1795" s="26">
        <f>IFERROR(__xludf.DUMMYFUNCTION("""COMPUTED_VALUE"""),8.0)</f>
        <v>8</v>
      </c>
      <c r="H1795" s="26">
        <f>IFERROR(__xludf.DUMMYFUNCTION("""COMPUTED_VALUE"""),24.8832)</f>
        <v>24.8832</v>
      </c>
    </row>
    <row r="1796">
      <c r="A1796" s="26" t="str">
        <f>IFERROR(__xludf.DUMMYFUNCTION("""COMPUTED_VALUE"""),"CA-2015-157035")</f>
        <v>CA-2015-157035</v>
      </c>
      <c r="B1796" s="27">
        <f>IFERROR(__xludf.DUMMYFUNCTION("""COMPUTED_VALUE"""),42347.0)</f>
        <v>42347</v>
      </c>
      <c r="C1796" s="26" t="str">
        <f>IFERROR(__xludf.DUMMYFUNCTION("""COMPUTED_VALUE"""),"Ken Brennan")</f>
        <v>Ken Brennan</v>
      </c>
      <c r="D1796" s="26" t="str">
        <f>IFERROR(__xludf.DUMMYFUNCTION("""COMPUTED_VALUE"""),"Corporate")</f>
        <v>Corporate</v>
      </c>
      <c r="E1796" s="26" t="str">
        <f>IFERROR(__xludf.DUMMYFUNCTION("""COMPUTED_VALUE"""),"Central")</f>
        <v>Central</v>
      </c>
      <c r="F1796" s="26">
        <f>IFERROR(__xludf.DUMMYFUNCTION("""COMPUTED_VALUE"""),34.02)</f>
        <v>34.02</v>
      </c>
      <c r="G1796" s="26">
        <f>IFERROR(__xludf.DUMMYFUNCTION("""COMPUTED_VALUE"""),3.0)</f>
        <v>3</v>
      </c>
      <c r="H1796" s="26">
        <f>IFERROR(__xludf.DUMMYFUNCTION("""COMPUTED_VALUE"""),16.6698)</f>
        <v>16.6698</v>
      </c>
    </row>
    <row r="1797">
      <c r="A1797" s="26" t="str">
        <f>IFERROR(__xludf.DUMMYFUNCTION("""COMPUTED_VALUE"""),"CA-2015-146829")</f>
        <v>CA-2015-146829</v>
      </c>
      <c r="B1797" s="27">
        <f>IFERROR(__xludf.DUMMYFUNCTION("""COMPUTED_VALUE"""),42073.0)</f>
        <v>42073</v>
      </c>
      <c r="C1797" s="26" t="str">
        <f>IFERROR(__xludf.DUMMYFUNCTION("""COMPUTED_VALUE"""),"Toby Swindell")</f>
        <v>Toby Swindell</v>
      </c>
      <c r="D1797" s="26" t="str">
        <f>IFERROR(__xludf.DUMMYFUNCTION("""COMPUTED_VALUE"""),"Consumer")</f>
        <v>Consumer</v>
      </c>
      <c r="E1797" s="26" t="str">
        <f>IFERROR(__xludf.DUMMYFUNCTION("""COMPUTED_VALUE"""),"Central")</f>
        <v>Central</v>
      </c>
      <c r="F1797" s="26">
        <f>IFERROR(__xludf.DUMMYFUNCTION("""COMPUTED_VALUE"""),1.112)</f>
        <v>1.112</v>
      </c>
      <c r="G1797" s="26">
        <f>IFERROR(__xludf.DUMMYFUNCTION("""COMPUTED_VALUE"""),2.0)</f>
        <v>2</v>
      </c>
      <c r="H1797" s="26">
        <f>IFERROR(__xludf.DUMMYFUNCTION("""COMPUTED_VALUE"""),-1.8904)</f>
        <v>-1.8904</v>
      </c>
    </row>
    <row r="1798">
      <c r="A1798" s="26" t="str">
        <f>IFERROR(__xludf.DUMMYFUNCTION("""COMPUTED_VALUE"""),"US-2015-125374")</f>
        <v>US-2015-125374</v>
      </c>
      <c r="B1798" s="27">
        <f>IFERROR(__xludf.DUMMYFUNCTION("""COMPUTED_VALUE"""),42086.0)</f>
        <v>42086</v>
      </c>
      <c r="C1798" s="26" t="str">
        <f>IFERROR(__xludf.DUMMYFUNCTION("""COMPUTED_VALUE"""),"Julia Dunbar")</f>
        <v>Julia Dunbar</v>
      </c>
      <c r="D1798" s="26" t="str">
        <f>IFERROR(__xludf.DUMMYFUNCTION("""COMPUTED_VALUE"""),"Consumer")</f>
        <v>Consumer</v>
      </c>
      <c r="E1798" s="26" t="str">
        <f>IFERROR(__xludf.DUMMYFUNCTION("""COMPUTED_VALUE"""),"Central")</f>
        <v>Central</v>
      </c>
      <c r="F1798" s="26">
        <f>IFERROR(__xludf.DUMMYFUNCTION("""COMPUTED_VALUE"""),107.772)</f>
        <v>107.772</v>
      </c>
      <c r="G1798" s="26">
        <f>IFERROR(__xludf.DUMMYFUNCTION("""COMPUTED_VALUE"""),2.0)</f>
        <v>2</v>
      </c>
      <c r="H1798" s="26">
        <f>IFERROR(__xludf.DUMMYFUNCTION("""COMPUTED_VALUE"""),-29.2524)</f>
        <v>-29.2524</v>
      </c>
    </row>
    <row r="1799">
      <c r="A1799" s="26" t="str">
        <f>IFERROR(__xludf.DUMMYFUNCTION("""COMPUTED_VALUE"""),"CA-2015-110016")</f>
        <v>CA-2015-110016</v>
      </c>
      <c r="B1799" s="27">
        <f>IFERROR(__xludf.DUMMYFUNCTION("""COMPUTED_VALUE"""),42337.0)</f>
        <v>42337</v>
      </c>
      <c r="C1799" s="26" t="str">
        <f>IFERROR(__xludf.DUMMYFUNCTION("""COMPUTED_VALUE"""),"Bill Tyler")</f>
        <v>Bill Tyler</v>
      </c>
      <c r="D1799" s="26" t="str">
        <f>IFERROR(__xludf.DUMMYFUNCTION("""COMPUTED_VALUE"""),"Corporate")</f>
        <v>Corporate</v>
      </c>
      <c r="E1799" s="26" t="str">
        <f>IFERROR(__xludf.DUMMYFUNCTION("""COMPUTED_VALUE"""),"Central")</f>
        <v>Central</v>
      </c>
      <c r="F1799" s="26">
        <f>IFERROR(__xludf.DUMMYFUNCTION("""COMPUTED_VALUE"""),19.92)</f>
        <v>19.92</v>
      </c>
      <c r="G1799" s="26">
        <f>IFERROR(__xludf.DUMMYFUNCTION("""COMPUTED_VALUE"""),4.0)</f>
        <v>4</v>
      </c>
      <c r="H1799" s="26">
        <f>IFERROR(__xludf.DUMMYFUNCTION("""COMPUTED_VALUE"""),9.3624)</f>
        <v>9.3624</v>
      </c>
    </row>
    <row r="1800">
      <c r="A1800" s="26" t="str">
        <f>IFERROR(__xludf.DUMMYFUNCTION("""COMPUTED_VALUE"""),"CA-2015-105970")</f>
        <v>CA-2015-105970</v>
      </c>
      <c r="B1800" s="27">
        <f>IFERROR(__xludf.DUMMYFUNCTION("""COMPUTED_VALUE"""),42065.0)</f>
        <v>42065</v>
      </c>
      <c r="C1800" s="26" t="str">
        <f>IFERROR(__xludf.DUMMYFUNCTION("""COMPUTED_VALUE"""),"Pete Armstrong")</f>
        <v>Pete Armstrong</v>
      </c>
      <c r="D1800" s="26" t="str">
        <f>IFERROR(__xludf.DUMMYFUNCTION("""COMPUTED_VALUE"""),"Home Office")</f>
        <v>Home Office</v>
      </c>
      <c r="E1800" s="26" t="str">
        <f>IFERROR(__xludf.DUMMYFUNCTION("""COMPUTED_VALUE"""),"Central")</f>
        <v>Central</v>
      </c>
      <c r="F1800" s="26">
        <f>IFERROR(__xludf.DUMMYFUNCTION("""COMPUTED_VALUE"""),10.16)</f>
        <v>10.16</v>
      </c>
      <c r="G1800" s="26">
        <f>IFERROR(__xludf.DUMMYFUNCTION("""COMPUTED_VALUE"""),1.0)</f>
        <v>1</v>
      </c>
      <c r="H1800" s="26">
        <f>IFERROR(__xludf.DUMMYFUNCTION("""COMPUTED_VALUE"""),2.6416)</f>
        <v>2.6416</v>
      </c>
    </row>
    <row r="1801">
      <c r="A1801" s="26" t="str">
        <f>IFERROR(__xludf.DUMMYFUNCTION("""COMPUTED_VALUE"""),"CA-2015-112452")</f>
        <v>CA-2015-112452</v>
      </c>
      <c r="B1801" s="27">
        <f>IFERROR(__xludf.DUMMYFUNCTION("""COMPUTED_VALUE"""),42098.0)</f>
        <v>42098</v>
      </c>
      <c r="C1801" s="26" t="str">
        <f>IFERROR(__xludf.DUMMYFUNCTION("""COMPUTED_VALUE"""),"Nat Carroll")</f>
        <v>Nat Carroll</v>
      </c>
      <c r="D1801" s="26" t="str">
        <f>IFERROR(__xludf.DUMMYFUNCTION("""COMPUTED_VALUE"""),"Consumer")</f>
        <v>Consumer</v>
      </c>
      <c r="E1801" s="26" t="str">
        <f>IFERROR(__xludf.DUMMYFUNCTION("""COMPUTED_VALUE"""),"Central")</f>
        <v>Central</v>
      </c>
      <c r="F1801" s="26">
        <f>IFERROR(__xludf.DUMMYFUNCTION("""COMPUTED_VALUE"""),644.076)</f>
        <v>644.076</v>
      </c>
      <c r="G1801" s="26">
        <f>IFERROR(__xludf.DUMMYFUNCTION("""COMPUTED_VALUE"""),2.0)</f>
        <v>2</v>
      </c>
      <c r="H1801" s="26">
        <f>IFERROR(__xludf.DUMMYFUNCTION("""COMPUTED_VALUE"""),107.346)</f>
        <v>107.346</v>
      </c>
    </row>
    <row r="1802">
      <c r="A1802" s="26" t="str">
        <f>IFERROR(__xludf.DUMMYFUNCTION("""COMPUTED_VALUE"""),"US-2015-104430")</f>
        <v>US-2015-104430</v>
      </c>
      <c r="B1802" s="27">
        <f>IFERROR(__xludf.DUMMYFUNCTION("""COMPUTED_VALUE"""),42299.0)</f>
        <v>42299</v>
      </c>
      <c r="C1802" s="26" t="str">
        <f>IFERROR(__xludf.DUMMYFUNCTION("""COMPUTED_VALUE"""),"Liz Thompson")</f>
        <v>Liz Thompson</v>
      </c>
      <c r="D1802" s="26" t="str">
        <f>IFERROR(__xludf.DUMMYFUNCTION("""COMPUTED_VALUE"""),"Consumer")</f>
        <v>Consumer</v>
      </c>
      <c r="E1802" s="26" t="str">
        <f>IFERROR(__xludf.DUMMYFUNCTION("""COMPUTED_VALUE"""),"Central")</f>
        <v>Central</v>
      </c>
      <c r="F1802" s="26">
        <f>IFERROR(__xludf.DUMMYFUNCTION("""COMPUTED_VALUE"""),5.176)</f>
        <v>5.176</v>
      </c>
      <c r="G1802" s="26">
        <f>IFERROR(__xludf.DUMMYFUNCTION("""COMPUTED_VALUE"""),4.0)</f>
        <v>4</v>
      </c>
      <c r="H1802" s="26">
        <f>IFERROR(__xludf.DUMMYFUNCTION("""COMPUTED_VALUE"""),-7.764)</f>
        <v>-7.764</v>
      </c>
    </row>
    <row r="1803">
      <c r="A1803" s="26" t="str">
        <f>IFERROR(__xludf.DUMMYFUNCTION("""COMPUTED_VALUE"""),"CA-2015-154956")</f>
        <v>CA-2015-154956</v>
      </c>
      <c r="B1803" s="27">
        <f>IFERROR(__xludf.DUMMYFUNCTION("""COMPUTED_VALUE"""),42189.0)</f>
        <v>42189</v>
      </c>
      <c r="C1803" s="26" t="str">
        <f>IFERROR(__xludf.DUMMYFUNCTION("""COMPUTED_VALUE"""),"Irene Maddox")</f>
        <v>Irene Maddox</v>
      </c>
      <c r="D1803" s="26" t="str">
        <f>IFERROR(__xludf.DUMMYFUNCTION("""COMPUTED_VALUE"""),"Consumer")</f>
        <v>Consumer</v>
      </c>
      <c r="E1803" s="26" t="str">
        <f>IFERROR(__xludf.DUMMYFUNCTION("""COMPUTED_VALUE"""),"Central")</f>
        <v>Central</v>
      </c>
      <c r="F1803" s="26">
        <f>IFERROR(__xludf.DUMMYFUNCTION("""COMPUTED_VALUE"""),1099.96)</f>
        <v>1099.96</v>
      </c>
      <c r="G1803" s="26">
        <f>IFERROR(__xludf.DUMMYFUNCTION("""COMPUTED_VALUE"""),4.0)</f>
        <v>4</v>
      </c>
      <c r="H1803" s="26">
        <f>IFERROR(__xludf.DUMMYFUNCTION("""COMPUTED_VALUE"""),285.9896)</f>
        <v>285.9896</v>
      </c>
    </row>
    <row r="1804">
      <c r="A1804" s="26" t="str">
        <f>IFERROR(__xludf.DUMMYFUNCTION("""COMPUTED_VALUE"""),"US-2015-149692")</f>
        <v>US-2015-149692</v>
      </c>
      <c r="B1804" s="27">
        <f>IFERROR(__xludf.DUMMYFUNCTION("""COMPUTED_VALUE"""),42344.0)</f>
        <v>42344</v>
      </c>
      <c r="C1804" s="26" t="str">
        <f>IFERROR(__xludf.DUMMYFUNCTION("""COMPUTED_VALUE"""),"Katrina Willman")</f>
        <v>Katrina Willman</v>
      </c>
      <c r="D1804" s="26" t="str">
        <f>IFERROR(__xludf.DUMMYFUNCTION("""COMPUTED_VALUE"""),"Consumer")</f>
        <v>Consumer</v>
      </c>
      <c r="E1804" s="26" t="str">
        <f>IFERROR(__xludf.DUMMYFUNCTION("""COMPUTED_VALUE"""),"Central")</f>
        <v>Central</v>
      </c>
      <c r="F1804" s="26">
        <f>IFERROR(__xludf.DUMMYFUNCTION("""COMPUTED_VALUE"""),2.772)</f>
        <v>2.772</v>
      </c>
      <c r="G1804" s="26">
        <f>IFERROR(__xludf.DUMMYFUNCTION("""COMPUTED_VALUE"""),7.0)</f>
        <v>7</v>
      </c>
      <c r="H1804" s="26">
        <f>IFERROR(__xludf.DUMMYFUNCTION("""COMPUTED_VALUE"""),-4.851)</f>
        <v>-4.851</v>
      </c>
    </row>
    <row r="1805">
      <c r="A1805" s="26" t="str">
        <f>IFERROR(__xludf.DUMMYFUNCTION("""COMPUTED_VALUE"""),"CA-2015-126697")</f>
        <v>CA-2015-126697</v>
      </c>
      <c r="B1805" s="27">
        <f>IFERROR(__xludf.DUMMYFUNCTION("""COMPUTED_VALUE"""),42268.0)</f>
        <v>42268</v>
      </c>
      <c r="C1805" s="26" t="str">
        <f>IFERROR(__xludf.DUMMYFUNCTION("""COMPUTED_VALUE"""),"Stuart Van")</f>
        <v>Stuart Van</v>
      </c>
      <c r="D1805" s="26" t="str">
        <f>IFERROR(__xludf.DUMMYFUNCTION("""COMPUTED_VALUE"""),"Corporate")</f>
        <v>Corporate</v>
      </c>
      <c r="E1805" s="26" t="str">
        <f>IFERROR(__xludf.DUMMYFUNCTION("""COMPUTED_VALUE"""),"Central")</f>
        <v>Central</v>
      </c>
      <c r="F1805" s="26">
        <f>IFERROR(__xludf.DUMMYFUNCTION("""COMPUTED_VALUE"""),946.344)</f>
        <v>946.344</v>
      </c>
      <c r="G1805" s="26">
        <f>IFERROR(__xludf.DUMMYFUNCTION("""COMPUTED_VALUE"""),7.0)</f>
        <v>7</v>
      </c>
      <c r="H1805" s="26">
        <f>IFERROR(__xludf.DUMMYFUNCTION("""COMPUTED_VALUE"""),118.293)</f>
        <v>118.293</v>
      </c>
    </row>
    <row r="1806">
      <c r="A1806" s="26" t="str">
        <f>IFERROR(__xludf.DUMMYFUNCTION("""COMPUTED_VALUE"""),"CA-2015-139731")</f>
        <v>CA-2015-139731</v>
      </c>
      <c r="B1806" s="27">
        <f>IFERROR(__xludf.DUMMYFUNCTION("""COMPUTED_VALUE"""),42292.0)</f>
        <v>42292</v>
      </c>
      <c r="C1806" s="26" t="str">
        <f>IFERROR(__xludf.DUMMYFUNCTION("""COMPUTED_VALUE"""),"Joel Eaton")</f>
        <v>Joel Eaton</v>
      </c>
      <c r="D1806" s="26" t="str">
        <f>IFERROR(__xludf.DUMMYFUNCTION("""COMPUTED_VALUE"""),"Consumer")</f>
        <v>Consumer</v>
      </c>
      <c r="E1806" s="26" t="str">
        <f>IFERROR(__xludf.DUMMYFUNCTION("""COMPUTED_VALUE"""),"Central")</f>
        <v>Central</v>
      </c>
      <c r="F1806" s="26">
        <f>IFERROR(__xludf.DUMMYFUNCTION("""COMPUTED_VALUE"""),263.88)</f>
        <v>263.88</v>
      </c>
      <c r="G1806" s="26">
        <f>IFERROR(__xludf.DUMMYFUNCTION("""COMPUTED_VALUE"""),3.0)</f>
        <v>3</v>
      </c>
      <c r="H1806" s="26">
        <f>IFERROR(__xludf.DUMMYFUNCTION("""COMPUTED_VALUE"""),42.8805)</f>
        <v>42.8805</v>
      </c>
    </row>
    <row r="1807">
      <c r="A1807" s="26" t="str">
        <f>IFERROR(__xludf.DUMMYFUNCTION("""COMPUTED_VALUE"""),"US-2015-105676")</f>
        <v>US-2015-105676</v>
      </c>
      <c r="B1807" s="27">
        <f>IFERROR(__xludf.DUMMYFUNCTION("""COMPUTED_VALUE"""),42339.0)</f>
        <v>42339</v>
      </c>
      <c r="C1807" s="26" t="str">
        <f>IFERROR(__xludf.DUMMYFUNCTION("""COMPUTED_VALUE"""),"Neoma Murray")</f>
        <v>Neoma Murray</v>
      </c>
      <c r="D1807" s="26" t="str">
        <f>IFERROR(__xludf.DUMMYFUNCTION("""COMPUTED_VALUE"""),"Consumer")</f>
        <v>Consumer</v>
      </c>
      <c r="E1807" s="26" t="str">
        <f>IFERROR(__xludf.DUMMYFUNCTION("""COMPUTED_VALUE"""),"Central")</f>
        <v>Central</v>
      </c>
      <c r="F1807" s="26">
        <f>IFERROR(__xludf.DUMMYFUNCTION("""COMPUTED_VALUE"""),6.688)</f>
        <v>6.688</v>
      </c>
      <c r="G1807" s="26">
        <f>IFERROR(__xludf.DUMMYFUNCTION("""COMPUTED_VALUE"""),4.0)</f>
        <v>4</v>
      </c>
      <c r="H1807" s="26">
        <f>IFERROR(__xludf.DUMMYFUNCTION("""COMPUTED_VALUE"""),-4.0128)</f>
        <v>-4.0128</v>
      </c>
    </row>
    <row r="1808">
      <c r="A1808" s="26" t="str">
        <f>IFERROR(__xludf.DUMMYFUNCTION("""COMPUTED_VALUE"""),"CA-2015-111395")</f>
        <v>CA-2015-111395</v>
      </c>
      <c r="B1808" s="27">
        <f>IFERROR(__xludf.DUMMYFUNCTION("""COMPUTED_VALUE"""),42331.0)</f>
        <v>42331</v>
      </c>
      <c r="C1808" s="26" t="str">
        <f>IFERROR(__xludf.DUMMYFUNCTION("""COMPUTED_VALUE"""),"Victoria Brennan")</f>
        <v>Victoria Brennan</v>
      </c>
      <c r="D1808" s="26" t="str">
        <f>IFERROR(__xludf.DUMMYFUNCTION("""COMPUTED_VALUE"""),"Corporate")</f>
        <v>Corporate</v>
      </c>
      <c r="E1808" s="26" t="str">
        <f>IFERROR(__xludf.DUMMYFUNCTION("""COMPUTED_VALUE"""),"Central")</f>
        <v>Central</v>
      </c>
      <c r="F1808" s="26">
        <f>IFERROR(__xludf.DUMMYFUNCTION("""COMPUTED_VALUE"""),335.52)</f>
        <v>335.52</v>
      </c>
      <c r="G1808" s="26">
        <f>IFERROR(__xludf.DUMMYFUNCTION("""COMPUTED_VALUE"""),4.0)</f>
        <v>4</v>
      </c>
      <c r="H1808" s="26">
        <f>IFERROR(__xludf.DUMMYFUNCTION("""COMPUTED_VALUE"""),117.432)</f>
        <v>117.432</v>
      </c>
    </row>
    <row r="1809">
      <c r="A1809" s="26" t="str">
        <f>IFERROR(__xludf.DUMMYFUNCTION("""COMPUTED_VALUE"""),"CA-2015-129112")</f>
        <v>CA-2015-129112</v>
      </c>
      <c r="B1809" s="27">
        <f>IFERROR(__xludf.DUMMYFUNCTION("""COMPUTED_VALUE"""),42337.0)</f>
        <v>42337</v>
      </c>
      <c r="C1809" s="26" t="str">
        <f>IFERROR(__xludf.DUMMYFUNCTION("""COMPUTED_VALUE"""),"Anthony Witt")</f>
        <v>Anthony Witt</v>
      </c>
      <c r="D1809" s="26" t="str">
        <f>IFERROR(__xludf.DUMMYFUNCTION("""COMPUTED_VALUE"""),"Consumer")</f>
        <v>Consumer</v>
      </c>
      <c r="E1809" s="26" t="str">
        <f>IFERROR(__xludf.DUMMYFUNCTION("""COMPUTED_VALUE"""),"Central")</f>
        <v>Central</v>
      </c>
      <c r="F1809" s="26">
        <f>IFERROR(__xludf.DUMMYFUNCTION("""COMPUTED_VALUE"""),21.48)</f>
        <v>21.48</v>
      </c>
      <c r="G1809" s="26">
        <f>IFERROR(__xludf.DUMMYFUNCTION("""COMPUTED_VALUE"""),3.0)</f>
        <v>3</v>
      </c>
      <c r="H1809" s="26">
        <f>IFERROR(__xludf.DUMMYFUNCTION("""COMPUTED_VALUE"""),-0.2685)</f>
        <v>-0.2685</v>
      </c>
    </row>
    <row r="1810">
      <c r="A1810" s="26" t="str">
        <f>IFERROR(__xludf.DUMMYFUNCTION("""COMPUTED_VALUE"""),"CA-2015-118423")</f>
        <v>CA-2015-118423</v>
      </c>
      <c r="B1810" s="27">
        <f>IFERROR(__xludf.DUMMYFUNCTION("""COMPUTED_VALUE"""),42087.0)</f>
        <v>42087</v>
      </c>
      <c r="C1810" s="26" t="str">
        <f>IFERROR(__xludf.DUMMYFUNCTION("""COMPUTED_VALUE"""),"Dennis Pardue")</f>
        <v>Dennis Pardue</v>
      </c>
      <c r="D1810" s="26" t="str">
        <f>IFERROR(__xludf.DUMMYFUNCTION("""COMPUTED_VALUE"""),"Home Office")</f>
        <v>Home Office</v>
      </c>
      <c r="E1810" s="26" t="str">
        <f>IFERROR(__xludf.DUMMYFUNCTION("""COMPUTED_VALUE"""),"Central")</f>
        <v>Central</v>
      </c>
      <c r="F1810" s="26">
        <f>IFERROR(__xludf.DUMMYFUNCTION("""COMPUTED_VALUE"""),359.058)</f>
        <v>359.058</v>
      </c>
      <c r="G1810" s="26">
        <f>IFERROR(__xludf.DUMMYFUNCTION("""COMPUTED_VALUE"""),3.0)</f>
        <v>3</v>
      </c>
      <c r="H1810" s="26">
        <f>IFERROR(__xludf.DUMMYFUNCTION("""COMPUTED_VALUE"""),-35.9058)</f>
        <v>-35.9058</v>
      </c>
    </row>
    <row r="1811">
      <c r="A1811" s="26" t="str">
        <f>IFERROR(__xludf.DUMMYFUNCTION("""COMPUTED_VALUE"""),"CA-2015-130022")</f>
        <v>CA-2015-130022</v>
      </c>
      <c r="B1811" s="27">
        <f>IFERROR(__xludf.DUMMYFUNCTION("""COMPUTED_VALUE"""),42226.0)</f>
        <v>42226</v>
      </c>
      <c r="C1811" s="26" t="str">
        <f>IFERROR(__xludf.DUMMYFUNCTION("""COMPUTED_VALUE"""),"Julie Kriz")</f>
        <v>Julie Kriz</v>
      </c>
      <c r="D1811" s="26" t="str">
        <f>IFERROR(__xludf.DUMMYFUNCTION("""COMPUTED_VALUE"""),"Home Office")</f>
        <v>Home Office</v>
      </c>
      <c r="E1811" s="26" t="str">
        <f>IFERROR(__xludf.DUMMYFUNCTION("""COMPUTED_VALUE"""),"Central")</f>
        <v>Central</v>
      </c>
      <c r="F1811" s="26">
        <f>IFERROR(__xludf.DUMMYFUNCTION("""COMPUTED_VALUE"""),3.75)</f>
        <v>3.75</v>
      </c>
      <c r="G1811" s="26">
        <f>IFERROR(__xludf.DUMMYFUNCTION("""COMPUTED_VALUE"""),1.0)</f>
        <v>1</v>
      </c>
      <c r="H1811" s="26">
        <f>IFERROR(__xludf.DUMMYFUNCTION("""COMPUTED_VALUE"""),1.8)</f>
        <v>1.8</v>
      </c>
    </row>
    <row r="1812">
      <c r="A1812" s="26" t="str">
        <f>IFERROR(__xludf.DUMMYFUNCTION("""COMPUTED_VALUE"""),"CA-2015-143077")</f>
        <v>CA-2015-143077</v>
      </c>
      <c r="B1812" s="27">
        <f>IFERROR(__xludf.DUMMYFUNCTION("""COMPUTED_VALUE"""),42264.0)</f>
        <v>42264</v>
      </c>
      <c r="C1812" s="26" t="str">
        <f>IFERROR(__xludf.DUMMYFUNCTION("""COMPUTED_VALUE"""),"Sylvia Foulston")</f>
        <v>Sylvia Foulston</v>
      </c>
      <c r="D1812" s="26" t="str">
        <f>IFERROR(__xludf.DUMMYFUNCTION("""COMPUTED_VALUE"""),"Corporate")</f>
        <v>Corporate</v>
      </c>
      <c r="E1812" s="26" t="str">
        <f>IFERROR(__xludf.DUMMYFUNCTION("""COMPUTED_VALUE"""),"Central")</f>
        <v>Central</v>
      </c>
      <c r="F1812" s="26">
        <f>IFERROR(__xludf.DUMMYFUNCTION("""COMPUTED_VALUE"""),21.936)</f>
        <v>21.936</v>
      </c>
      <c r="G1812" s="26">
        <f>IFERROR(__xludf.DUMMYFUNCTION("""COMPUTED_VALUE"""),2.0)</f>
        <v>2</v>
      </c>
      <c r="H1812" s="26">
        <f>IFERROR(__xludf.DUMMYFUNCTION("""COMPUTED_VALUE"""),-10.4196)</f>
        <v>-10.4196</v>
      </c>
    </row>
    <row r="1813">
      <c r="A1813" s="26" t="str">
        <f>IFERROR(__xludf.DUMMYFUNCTION("""COMPUTED_VALUE"""),"CA-2015-145401")</f>
        <v>CA-2015-145401</v>
      </c>
      <c r="B1813" s="27">
        <f>IFERROR(__xludf.DUMMYFUNCTION("""COMPUTED_VALUE"""),42034.0)</f>
        <v>42034</v>
      </c>
      <c r="C1813" s="26" t="str">
        <f>IFERROR(__xludf.DUMMYFUNCTION("""COMPUTED_VALUE"""),"Jeremy Pistek")</f>
        <v>Jeremy Pistek</v>
      </c>
      <c r="D1813" s="26" t="str">
        <f>IFERROR(__xludf.DUMMYFUNCTION("""COMPUTED_VALUE"""),"Consumer")</f>
        <v>Consumer</v>
      </c>
      <c r="E1813" s="26" t="str">
        <f>IFERROR(__xludf.DUMMYFUNCTION("""COMPUTED_VALUE"""),"Central")</f>
        <v>Central</v>
      </c>
      <c r="F1813" s="26">
        <f>IFERROR(__xludf.DUMMYFUNCTION("""COMPUTED_VALUE"""),14.304)</f>
        <v>14.304</v>
      </c>
      <c r="G1813" s="26">
        <f>IFERROR(__xludf.DUMMYFUNCTION("""COMPUTED_VALUE"""),6.0)</f>
        <v>6</v>
      </c>
      <c r="H1813" s="26">
        <f>IFERROR(__xludf.DUMMYFUNCTION("""COMPUTED_VALUE"""),5.0064)</f>
        <v>5.0064</v>
      </c>
    </row>
    <row r="1814">
      <c r="A1814" s="26" t="str">
        <f>IFERROR(__xludf.DUMMYFUNCTION("""COMPUTED_VALUE"""),"US-2015-123218")</f>
        <v>US-2015-123218</v>
      </c>
      <c r="B1814" s="27">
        <f>IFERROR(__xludf.DUMMYFUNCTION("""COMPUTED_VALUE"""),42358.0)</f>
        <v>42358</v>
      </c>
      <c r="C1814" s="26" t="str">
        <f>IFERROR(__xludf.DUMMYFUNCTION("""COMPUTED_VALUE"""),"Katherine Ducich")</f>
        <v>Katherine Ducich</v>
      </c>
      <c r="D1814" s="26" t="str">
        <f>IFERROR(__xludf.DUMMYFUNCTION("""COMPUTED_VALUE"""),"Consumer")</f>
        <v>Consumer</v>
      </c>
      <c r="E1814" s="26" t="str">
        <f>IFERROR(__xludf.DUMMYFUNCTION("""COMPUTED_VALUE"""),"Central")</f>
        <v>Central</v>
      </c>
      <c r="F1814" s="26">
        <f>IFERROR(__xludf.DUMMYFUNCTION("""COMPUTED_VALUE"""),159.984)</f>
        <v>159.984</v>
      </c>
      <c r="G1814" s="26">
        <f>IFERROR(__xludf.DUMMYFUNCTION("""COMPUTED_VALUE"""),2.0)</f>
        <v>2</v>
      </c>
      <c r="H1814" s="26">
        <f>IFERROR(__xludf.DUMMYFUNCTION("""COMPUTED_VALUE"""),11.9988)</f>
        <v>11.9988</v>
      </c>
    </row>
    <row r="1815">
      <c r="A1815" s="26" t="str">
        <f>IFERROR(__xludf.DUMMYFUNCTION("""COMPUTED_VALUE"""),"CA-2015-139094")</f>
        <v>CA-2015-139094</v>
      </c>
      <c r="B1815" s="27">
        <f>IFERROR(__xludf.DUMMYFUNCTION("""COMPUTED_VALUE"""),42330.0)</f>
        <v>42330</v>
      </c>
      <c r="C1815" s="26" t="str">
        <f>IFERROR(__xludf.DUMMYFUNCTION("""COMPUTED_VALUE"""),"Meg O'Connel")</f>
        <v>Meg O'Connel</v>
      </c>
      <c r="D1815" s="26" t="str">
        <f>IFERROR(__xludf.DUMMYFUNCTION("""COMPUTED_VALUE"""),"Home Office")</f>
        <v>Home Office</v>
      </c>
      <c r="E1815" s="26" t="str">
        <f>IFERROR(__xludf.DUMMYFUNCTION("""COMPUTED_VALUE"""),"Central")</f>
        <v>Central</v>
      </c>
      <c r="F1815" s="26">
        <f>IFERROR(__xludf.DUMMYFUNCTION("""COMPUTED_VALUE"""),206.962)</f>
        <v>206.962</v>
      </c>
      <c r="G1815" s="26">
        <f>IFERROR(__xludf.DUMMYFUNCTION("""COMPUTED_VALUE"""),2.0)</f>
        <v>2</v>
      </c>
      <c r="H1815" s="26">
        <f>IFERROR(__xludf.DUMMYFUNCTION("""COMPUTED_VALUE"""),-32.5226)</f>
        <v>-32.5226</v>
      </c>
    </row>
    <row r="1816">
      <c r="A1816" s="26" t="str">
        <f>IFERROR(__xludf.DUMMYFUNCTION("""COMPUTED_VALUE"""),"CA-2015-135622")</f>
        <v>CA-2015-135622</v>
      </c>
      <c r="B1816" s="27">
        <f>IFERROR(__xludf.DUMMYFUNCTION("""COMPUTED_VALUE"""),42346.0)</f>
        <v>42346</v>
      </c>
      <c r="C1816" s="26" t="str">
        <f>IFERROR(__xludf.DUMMYFUNCTION("""COMPUTED_VALUE"""),"Tonja Turnell")</f>
        <v>Tonja Turnell</v>
      </c>
      <c r="D1816" s="26" t="str">
        <f>IFERROR(__xludf.DUMMYFUNCTION("""COMPUTED_VALUE"""),"Home Office")</f>
        <v>Home Office</v>
      </c>
      <c r="E1816" s="26" t="str">
        <f>IFERROR(__xludf.DUMMYFUNCTION("""COMPUTED_VALUE"""),"Central")</f>
        <v>Central</v>
      </c>
      <c r="F1816" s="26">
        <f>IFERROR(__xludf.DUMMYFUNCTION("""COMPUTED_VALUE"""),360.712)</f>
        <v>360.712</v>
      </c>
      <c r="G1816" s="26">
        <f>IFERROR(__xludf.DUMMYFUNCTION("""COMPUTED_VALUE"""),11.0)</f>
        <v>11</v>
      </c>
      <c r="H1816" s="26">
        <f>IFERROR(__xludf.DUMMYFUNCTION("""COMPUTED_VALUE"""),130.7581)</f>
        <v>130.7581</v>
      </c>
    </row>
    <row r="1817">
      <c r="A1817" s="26" t="str">
        <f>IFERROR(__xludf.DUMMYFUNCTION("""COMPUTED_VALUE"""),"US-2015-107349")</f>
        <v>US-2015-107349</v>
      </c>
      <c r="B1817" s="27">
        <f>IFERROR(__xludf.DUMMYFUNCTION("""COMPUTED_VALUE"""),42198.0)</f>
        <v>42198</v>
      </c>
      <c r="C1817" s="26" t="str">
        <f>IFERROR(__xludf.DUMMYFUNCTION("""COMPUTED_VALUE"""),"Sara Luxemburg")</f>
        <v>Sara Luxemburg</v>
      </c>
      <c r="D1817" s="26" t="str">
        <f>IFERROR(__xludf.DUMMYFUNCTION("""COMPUTED_VALUE"""),"Home Office")</f>
        <v>Home Office</v>
      </c>
      <c r="E1817" s="26" t="str">
        <f>IFERROR(__xludf.DUMMYFUNCTION("""COMPUTED_VALUE"""),"Central")</f>
        <v>Central</v>
      </c>
      <c r="F1817" s="26">
        <f>IFERROR(__xludf.DUMMYFUNCTION("""COMPUTED_VALUE"""),41.568)</f>
        <v>41.568</v>
      </c>
      <c r="G1817" s="26">
        <f>IFERROR(__xludf.DUMMYFUNCTION("""COMPUTED_VALUE"""),6.0)</f>
        <v>6</v>
      </c>
      <c r="H1817" s="26">
        <f>IFERROR(__xludf.DUMMYFUNCTION("""COMPUTED_VALUE"""),-66.5088)</f>
        <v>-66.5088</v>
      </c>
    </row>
    <row r="1818">
      <c r="A1818" s="26" t="str">
        <f>IFERROR(__xludf.DUMMYFUNCTION("""COMPUTED_VALUE"""),"CA-2015-154326")</f>
        <v>CA-2015-154326</v>
      </c>
      <c r="B1818" s="27">
        <f>IFERROR(__xludf.DUMMYFUNCTION("""COMPUTED_VALUE"""),42050.0)</f>
        <v>42050</v>
      </c>
      <c r="C1818" s="26" t="str">
        <f>IFERROR(__xludf.DUMMYFUNCTION("""COMPUTED_VALUE"""),"Roy Phan")</f>
        <v>Roy Phan</v>
      </c>
      <c r="D1818" s="26" t="str">
        <f>IFERROR(__xludf.DUMMYFUNCTION("""COMPUTED_VALUE"""),"Corporate")</f>
        <v>Corporate</v>
      </c>
      <c r="E1818" s="26" t="str">
        <f>IFERROR(__xludf.DUMMYFUNCTION("""COMPUTED_VALUE"""),"Central")</f>
        <v>Central</v>
      </c>
      <c r="F1818" s="26">
        <f>IFERROR(__xludf.DUMMYFUNCTION("""COMPUTED_VALUE"""),134.97)</f>
        <v>134.97</v>
      </c>
      <c r="G1818" s="26">
        <f>IFERROR(__xludf.DUMMYFUNCTION("""COMPUTED_VALUE"""),3.0)</f>
        <v>3</v>
      </c>
      <c r="H1818" s="26">
        <f>IFERROR(__xludf.DUMMYFUNCTION("""COMPUTED_VALUE"""),64.7856)</f>
        <v>64.7856</v>
      </c>
    </row>
    <row r="1819">
      <c r="A1819" s="26" t="str">
        <f>IFERROR(__xludf.DUMMYFUNCTION("""COMPUTED_VALUE"""),"CA-2015-135391")</f>
        <v>CA-2015-135391</v>
      </c>
      <c r="B1819" s="27">
        <f>IFERROR(__xludf.DUMMYFUNCTION("""COMPUTED_VALUE"""),42044.0)</f>
        <v>42044</v>
      </c>
      <c r="C1819" s="26" t="str">
        <f>IFERROR(__xludf.DUMMYFUNCTION("""COMPUTED_VALUE"""),"Frank Atkinson")</f>
        <v>Frank Atkinson</v>
      </c>
      <c r="D1819" s="26" t="str">
        <f>IFERROR(__xludf.DUMMYFUNCTION("""COMPUTED_VALUE"""),"Corporate")</f>
        <v>Corporate</v>
      </c>
      <c r="E1819" s="26" t="str">
        <f>IFERROR(__xludf.DUMMYFUNCTION("""COMPUTED_VALUE"""),"Central")</f>
        <v>Central</v>
      </c>
      <c r="F1819" s="26">
        <f>IFERROR(__xludf.DUMMYFUNCTION("""COMPUTED_VALUE"""),40.096)</f>
        <v>40.096</v>
      </c>
      <c r="G1819" s="26">
        <f>IFERROR(__xludf.DUMMYFUNCTION("""COMPUTED_VALUE"""),4.0)</f>
        <v>4</v>
      </c>
      <c r="H1819" s="26">
        <f>IFERROR(__xludf.DUMMYFUNCTION("""COMPUTED_VALUE"""),13.5324)</f>
        <v>13.5324</v>
      </c>
    </row>
    <row r="1820">
      <c r="A1820" s="26" t="str">
        <f>IFERROR(__xludf.DUMMYFUNCTION("""COMPUTED_VALUE"""),"CA-2015-160472")</f>
        <v>CA-2015-160472</v>
      </c>
      <c r="B1820" s="27">
        <f>IFERROR(__xludf.DUMMYFUNCTION("""COMPUTED_VALUE"""),42205.0)</f>
        <v>42205</v>
      </c>
      <c r="C1820" s="26" t="str">
        <f>IFERROR(__xludf.DUMMYFUNCTION("""COMPUTED_VALUE"""),"Ralph Kennedy")</f>
        <v>Ralph Kennedy</v>
      </c>
      <c r="D1820" s="26" t="str">
        <f>IFERROR(__xludf.DUMMYFUNCTION("""COMPUTED_VALUE"""),"Consumer")</f>
        <v>Consumer</v>
      </c>
      <c r="E1820" s="26" t="str">
        <f>IFERROR(__xludf.DUMMYFUNCTION("""COMPUTED_VALUE"""),"Central")</f>
        <v>Central</v>
      </c>
      <c r="F1820" s="26">
        <f>IFERROR(__xludf.DUMMYFUNCTION("""COMPUTED_VALUE"""),34.76)</f>
        <v>34.76</v>
      </c>
      <c r="G1820" s="26">
        <f>IFERROR(__xludf.DUMMYFUNCTION("""COMPUTED_VALUE"""),1.0)</f>
        <v>1</v>
      </c>
      <c r="H1820" s="26">
        <f>IFERROR(__xludf.DUMMYFUNCTION("""COMPUTED_VALUE"""),9.7328)</f>
        <v>9.7328</v>
      </c>
    </row>
    <row r="1821">
      <c r="A1821" s="26" t="str">
        <f>IFERROR(__xludf.DUMMYFUNCTION("""COMPUTED_VALUE"""),"CA-2015-123673")</f>
        <v>CA-2015-123673</v>
      </c>
      <c r="B1821" s="27">
        <f>IFERROR(__xludf.DUMMYFUNCTION("""COMPUTED_VALUE"""),42307.0)</f>
        <v>42307</v>
      </c>
      <c r="C1821" s="26" t="str">
        <f>IFERROR(__xludf.DUMMYFUNCTION("""COMPUTED_VALUE"""),"Cathy Hwang")</f>
        <v>Cathy Hwang</v>
      </c>
      <c r="D1821" s="26" t="str">
        <f>IFERROR(__xludf.DUMMYFUNCTION("""COMPUTED_VALUE"""),"Home Office")</f>
        <v>Home Office</v>
      </c>
      <c r="E1821" s="26" t="str">
        <f>IFERROR(__xludf.DUMMYFUNCTION("""COMPUTED_VALUE"""),"Central")</f>
        <v>Central</v>
      </c>
      <c r="F1821" s="26">
        <f>IFERROR(__xludf.DUMMYFUNCTION("""COMPUTED_VALUE"""),299.9)</f>
        <v>299.9</v>
      </c>
      <c r="G1821" s="26">
        <f>IFERROR(__xludf.DUMMYFUNCTION("""COMPUTED_VALUE"""),2.0)</f>
        <v>2</v>
      </c>
      <c r="H1821" s="26">
        <f>IFERROR(__xludf.DUMMYFUNCTION("""COMPUTED_VALUE"""),74.975)</f>
        <v>74.975</v>
      </c>
    </row>
    <row r="1822">
      <c r="A1822" s="26" t="str">
        <f>IFERROR(__xludf.DUMMYFUNCTION("""COMPUTED_VALUE"""),"CA-2015-127509")</f>
        <v>CA-2015-127509</v>
      </c>
      <c r="B1822" s="27">
        <f>IFERROR(__xludf.DUMMYFUNCTION("""COMPUTED_VALUE"""),42317.0)</f>
        <v>42317</v>
      </c>
      <c r="C1822" s="26" t="str">
        <f>IFERROR(__xludf.DUMMYFUNCTION("""COMPUTED_VALUE"""),"Adam Shillingsburg")</f>
        <v>Adam Shillingsburg</v>
      </c>
      <c r="D1822" s="26" t="str">
        <f>IFERROR(__xludf.DUMMYFUNCTION("""COMPUTED_VALUE"""),"Consumer")</f>
        <v>Consumer</v>
      </c>
      <c r="E1822" s="26" t="str">
        <f>IFERROR(__xludf.DUMMYFUNCTION("""COMPUTED_VALUE"""),"Central")</f>
        <v>Central</v>
      </c>
      <c r="F1822" s="26">
        <f>IFERROR(__xludf.DUMMYFUNCTION("""COMPUTED_VALUE"""),17.22)</f>
        <v>17.22</v>
      </c>
      <c r="G1822" s="26">
        <f>IFERROR(__xludf.DUMMYFUNCTION("""COMPUTED_VALUE"""),3.0)</f>
        <v>3</v>
      </c>
      <c r="H1822" s="26">
        <f>IFERROR(__xludf.DUMMYFUNCTION("""COMPUTED_VALUE"""),7.9212)</f>
        <v>7.9212</v>
      </c>
    </row>
    <row r="1823">
      <c r="A1823" s="26" t="str">
        <f>IFERROR(__xludf.DUMMYFUNCTION("""COMPUTED_VALUE"""),"CA-2015-155761")</f>
        <v>CA-2015-155761</v>
      </c>
      <c r="B1823" s="27">
        <f>IFERROR(__xludf.DUMMYFUNCTION("""COMPUTED_VALUE"""),42349.0)</f>
        <v>42349</v>
      </c>
      <c r="C1823" s="26" t="str">
        <f>IFERROR(__xludf.DUMMYFUNCTION("""COMPUTED_VALUE"""),"Stuart Calhoun")</f>
        <v>Stuart Calhoun</v>
      </c>
      <c r="D1823" s="26" t="str">
        <f>IFERROR(__xludf.DUMMYFUNCTION("""COMPUTED_VALUE"""),"Consumer")</f>
        <v>Consumer</v>
      </c>
      <c r="E1823" s="26" t="str">
        <f>IFERROR(__xludf.DUMMYFUNCTION("""COMPUTED_VALUE"""),"Central")</f>
        <v>Central</v>
      </c>
      <c r="F1823" s="26">
        <f>IFERROR(__xludf.DUMMYFUNCTION("""COMPUTED_VALUE"""),159.984)</f>
        <v>159.984</v>
      </c>
      <c r="G1823" s="26">
        <f>IFERROR(__xludf.DUMMYFUNCTION("""COMPUTED_VALUE"""),2.0)</f>
        <v>2</v>
      </c>
      <c r="H1823" s="26">
        <f>IFERROR(__xludf.DUMMYFUNCTION("""COMPUTED_VALUE"""),35.9964)</f>
        <v>35.9964</v>
      </c>
    </row>
    <row r="1824">
      <c r="A1824" s="26" t="str">
        <f>IFERROR(__xludf.DUMMYFUNCTION("""COMPUTED_VALUE"""),"CA-2015-156377")</f>
        <v>CA-2015-156377</v>
      </c>
      <c r="B1824" s="27">
        <f>IFERROR(__xludf.DUMMYFUNCTION("""COMPUTED_VALUE"""),42369.0)</f>
        <v>42369</v>
      </c>
      <c r="C1824" s="26" t="str">
        <f>IFERROR(__xludf.DUMMYFUNCTION("""COMPUTED_VALUE"""),"Trudy Brown")</f>
        <v>Trudy Brown</v>
      </c>
      <c r="D1824" s="26" t="str">
        <f>IFERROR(__xludf.DUMMYFUNCTION("""COMPUTED_VALUE"""),"Consumer")</f>
        <v>Consumer</v>
      </c>
      <c r="E1824" s="26" t="str">
        <f>IFERROR(__xludf.DUMMYFUNCTION("""COMPUTED_VALUE"""),"Central")</f>
        <v>Central</v>
      </c>
      <c r="F1824" s="26">
        <f>IFERROR(__xludf.DUMMYFUNCTION("""COMPUTED_VALUE"""),14.76)</f>
        <v>14.76</v>
      </c>
      <c r="G1824" s="26">
        <f>IFERROR(__xludf.DUMMYFUNCTION("""COMPUTED_VALUE"""),5.0)</f>
        <v>5</v>
      </c>
      <c r="H1824" s="26">
        <f>IFERROR(__xludf.DUMMYFUNCTION("""COMPUTED_VALUE"""),-11.439)</f>
        <v>-11.439</v>
      </c>
    </row>
    <row r="1825">
      <c r="A1825" s="26" t="str">
        <f>IFERROR(__xludf.DUMMYFUNCTION("""COMPUTED_VALUE"""),"CA-2015-132507")</f>
        <v>CA-2015-132507</v>
      </c>
      <c r="B1825" s="27">
        <f>IFERROR(__xludf.DUMMYFUNCTION("""COMPUTED_VALUE"""),42215.0)</f>
        <v>42215</v>
      </c>
      <c r="C1825" s="26" t="str">
        <f>IFERROR(__xludf.DUMMYFUNCTION("""COMPUTED_VALUE"""),"Corey Catlett")</f>
        <v>Corey Catlett</v>
      </c>
      <c r="D1825" s="26" t="str">
        <f>IFERROR(__xludf.DUMMYFUNCTION("""COMPUTED_VALUE"""),"Corporate")</f>
        <v>Corporate</v>
      </c>
      <c r="E1825" s="26" t="str">
        <f>IFERROR(__xludf.DUMMYFUNCTION("""COMPUTED_VALUE"""),"Central")</f>
        <v>Central</v>
      </c>
      <c r="F1825" s="26">
        <f>IFERROR(__xludf.DUMMYFUNCTION("""COMPUTED_VALUE"""),61.792)</f>
        <v>61.792</v>
      </c>
      <c r="G1825" s="26">
        <f>IFERROR(__xludf.DUMMYFUNCTION("""COMPUTED_VALUE"""),4.0)</f>
        <v>4</v>
      </c>
      <c r="H1825" s="26">
        <f>IFERROR(__xludf.DUMMYFUNCTION("""COMPUTED_VALUE"""),6.1792)</f>
        <v>6.1792</v>
      </c>
    </row>
    <row r="1826">
      <c r="A1826" s="26" t="str">
        <f>IFERROR(__xludf.DUMMYFUNCTION("""COMPUTED_VALUE"""),"CA-2015-145849")</f>
        <v>CA-2015-145849</v>
      </c>
      <c r="B1826" s="27">
        <f>IFERROR(__xludf.DUMMYFUNCTION("""COMPUTED_VALUE"""),42262.0)</f>
        <v>42262</v>
      </c>
      <c r="C1826" s="26" t="str">
        <f>IFERROR(__xludf.DUMMYFUNCTION("""COMPUTED_VALUE"""),"Carol Triggs")</f>
        <v>Carol Triggs</v>
      </c>
      <c r="D1826" s="26" t="str">
        <f>IFERROR(__xludf.DUMMYFUNCTION("""COMPUTED_VALUE"""),"Consumer")</f>
        <v>Consumer</v>
      </c>
      <c r="E1826" s="26" t="str">
        <f>IFERROR(__xludf.DUMMYFUNCTION("""COMPUTED_VALUE"""),"Central")</f>
        <v>Central</v>
      </c>
      <c r="F1826" s="26">
        <f>IFERROR(__xludf.DUMMYFUNCTION("""COMPUTED_VALUE"""),190.86)</f>
        <v>190.86</v>
      </c>
      <c r="G1826" s="26">
        <f>IFERROR(__xludf.DUMMYFUNCTION("""COMPUTED_VALUE"""),2.0)</f>
        <v>2</v>
      </c>
      <c r="H1826" s="26">
        <f>IFERROR(__xludf.DUMMYFUNCTION("""COMPUTED_VALUE"""),11.4516)</f>
        <v>11.4516</v>
      </c>
    </row>
    <row r="1827">
      <c r="A1827" s="26" t="str">
        <f>IFERROR(__xludf.DUMMYFUNCTION("""COMPUTED_VALUE"""),"CA-2015-153108")</f>
        <v>CA-2015-153108</v>
      </c>
      <c r="B1827" s="27">
        <f>IFERROR(__xludf.DUMMYFUNCTION("""COMPUTED_VALUE"""),42068.0)</f>
        <v>42068</v>
      </c>
      <c r="C1827" s="26" t="str">
        <f>IFERROR(__xludf.DUMMYFUNCTION("""COMPUTED_VALUE"""),"Sarah Foster")</f>
        <v>Sarah Foster</v>
      </c>
      <c r="D1827" s="26" t="str">
        <f>IFERROR(__xludf.DUMMYFUNCTION("""COMPUTED_VALUE"""),"Consumer")</f>
        <v>Consumer</v>
      </c>
      <c r="E1827" s="26" t="str">
        <f>IFERROR(__xludf.DUMMYFUNCTION("""COMPUTED_VALUE"""),"Central")</f>
        <v>Central</v>
      </c>
      <c r="F1827" s="26">
        <f>IFERROR(__xludf.DUMMYFUNCTION("""COMPUTED_VALUE"""),23.92)</f>
        <v>23.92</v>
      </c>
      <c r="G1827" s="26">
        <f>IFERROR(__xludf.DUMMYFUNCTION("""COMPUTED_VALUE"""),2.0)</f>
        <v>2</v>
      </c>
      <c r="H1827" s="26">
        <f>IFERROR(__xludf.DUMMYFUNCTION("""COMPUTED_VALUE"""),6.6976)</f>
        <v>6.6976</v>
      </c>
    </row>
    <row r="1828">
      <c r="A1828" s="26" t="str">
        <f>IFERROR(__xludf.DUMMYFUNCTION("""COMPUTED_VALUE"""),"CA-2015-160794")</f>
        <v>CA-2015-160794</v>
      </c>
      <c r="B1828" s="27">
        <f>IFERROR(__xludf.DUMMYFUNCTION("""COMPUTED_VALUE"""),42222.0)</f>
        <v>42222</v>
      </c>
      <c r="C1828" s="26" t="str">
        <f>IFERROR(__xludf.DUMMYFUNCTION("""COMPUTED_VALUE"""),"Michael Stewart")</f>
        <v>Michael Stewart</v>
      </c>
      <c r="D1828" s="26" t="str">
        <f>IFERROR(__xludf.DUMMYFUNCTION("""COMPUTED_VALUE"""),"Corporate")</f>
        <v>Corporate</v>
      </c>
      <c r="E1828" s="26" t="str">
        <f>IFERROR(__xludf.DUMMYFUNCTION("""COMPUTED_VALUE"""),"Central")</f>
        <v>Central</v>
      </c>
      <c r="F1828" s="26">
        <f>IFERROR(__xludf.DUMMYFUNCTION("""COMPUTED_VALUE"""),27.216)</f>
        <v>27.216</v>
      </c>
      <c r="G1828" s="26">
        <f>IFERROR(__xludf.DUMMYFUNCTION("""COMPUTED_VALUE"""),3.0)</f>
        <v>3</v>
      </c>
      <c r="H1828" s="26">
        <f>IFERROR(__xludf.DUMMYFUNCTION("""COMPUTED_VALUE"""),9.8658)</f>
        <v>9.8658</v>
      </c>
    </row>
    <row r="1829">
      <c r="A1829" s="26" t="str">
        <f>IFERROR(__xludf.DUMMYFUNCTION("""COMPUTED_VALUE"""),"CA-2015-120397")</f>
        <v>CA-2015-120397</v>
      </c>
      <c r="B1829" s="27">
        <f>IFERROR(__xludf.DUMMYFUNCTION("""COMPUTED_VALUE"""),42187.0)</f>
        <v>42187</v>
      </c>
      <c r="C1829" s="26" t="str">
        <f>IFERROR(__xludf.DUMMYFUNCTION("""COMPUTED_VALUE"""),"Richard Bierner")</f>
        <v>Richard Bierner</v>
      </c>
      <c r="D1829" s="26" t="str">
        <f>IFERROR(__xludf.DUMMYFUNCTION("""COMPUTED_VALUE"""),"Consumer")</f>
        <v>Consumer</v>
      </c>
      <c r="E1829" s="26" t="str">
        <f>IFERROR(__xludf.DUMMYFUNCTION("""COMPUTED_VALUE"""),"Central")</f>
        <v>Central</v>
      </c>
      <c r="F1829" s="26">
        <f>IFERROR(__xludf.DUMMYFUNCTION("""COMPUTED_VALUE"""),32.784)</f>
        <v>32.784</v>
      </c>
      <c r="G1829" s="26">
        <f>IFERROR(__xludf.DUMMYFUNCTION("""COMPUTED_VALUE"""),4.0)</f>
        <v>4</v>
      </c>
      <c r="H1829" s="26">
        <f>IFERROR(__xludf.DUMMYFUNCTION("""COMPUTED_VALUE"""),-85.2384)</f>
        <v>-85.2384</v>
      </c>
    </row>
    <row r="1830">
      <c r="A1830" s="26" t="str">
        <f>IFERROR(__xludf.DUMMYFUNCTION("""COMPUTED_VALUE"""),"CA-2015-124541")</f>
        <v>CA-2015-124541</v>
      </c>
      <c r="B1830" s="27">
        <f>IFERROR(__xludf.DUMMYFUNCTION("""COMPUTED_VALUE"""),42100.0)</f>
        <v>42100</v>
      </c>
      <c r="C1830" s="26" t="str">
        <f>IFERROR(__xludf.DUMMYFUNCTION("""COMPUTED_VALUE"""),"Thomas Thornton")</f>
        <v>Thomas Thornton</v>
      </c>
      <c r="D1830" s="26" t="str">
        <f>IFERROR(__xludf.DUMMYFUNCTION("""COMPUTED_VALUE"""),"Consumer")</f>
        <v>Consumer</v>
      </c>
      <c r="E1830" s="26" t="str">
        <f>IFERROR(__xludf.DUMMYFUNCTION("""COMPUTED_VALUE"""),"Central")</f>
        <v>Central</v>
      </c>
      <c r="F1830" s="26">
        <f>IFERROR(__xludf.DUMMYFUNCTION("""COMPUTED_VALUE"""),42.048)</f>
        <v>42.048</v>
      </c>
      <c r="G1830" s="26">
        <f>IFERROR(__xludf.DUMMYFUNCTION("""COMPUTED_VALUE"""),9.0)</f>
        <v>9</v>
      </c>
      <c r="H1830" s="26">
        <f>IFERROR(__xludf.DUMMYFUNCTION("""COMPUTED_VALUE"""),5.256)</f>
        <v>5.256</v>
      </c>
    </row>
    <row r="1831">
      <c r="A1831" s="26" t="str">
        <f>IFERROR(__xludf.DUMMYFUNCTION("""COMPUTED_VALUE"""),"CA-2015-121041")</f>
        <v>CA-2015-121041</v>
      </c>
      <c r="B1831" s="27">
        <f>IFERROR(__xludf.DUMMYFUNCTION("""COMPUTED_VALUE"""),42311.0)</f>
        <v>42311</v>
      </c>
      <c r="C1831" s="26" t="str">
        <f>IFERROR(__xludf.DUMMYFUNCTION("""COMPUTED_VALUE"""),"Chris Selesnick")</f>
        <v>Chris Selesnick</v>
      </c>
      <c r="D1831" s="26" t="str">
        <f>IFERROR(__xludf.DUMMYFUNCTION("""COMPUTED_VALUE"""),"Corporate")</f>
        <v>Corporate</v>
      </c>
      <c r="E1831" s="26" t="str">
        <f>IFERROR(__xludf.DUMMYFUNCTION("""COMPUTED_VALUE"""),"Central")</f>
        <v>Central</v>
      </c>
      <c r="F1831" s="26">
        <f>IFERROR(__xludf.DUMMYFUNCTION("""COMPUTED_VALUE"""),6.608)</f>
        <v>6.608</v>
      </c>
      <c r="G1831" s="26">
        <f>IFERROR(__xludf.DUMMYFUNCTION("""COMPUTED_VALUE"""),2.0)</f>
        <v>2</v>
      </c>
      <c r="H1831" s="26">
        <f>IFERROR(__xludf.DUMMYFUNCTION("""COMPUTED_VALUE"""),2.1476)</f>
        <v>2.1476</v>
      </c>
    </row>
    <row r="1832">
      <c r="A1832" s="26" t="str">
        <f>IFERROR(__xludf.DUMMYFUNCTION("""COMPUTED_VALUE"""),"CA-2015-168186")</f>
        <v>CA-2015-168186</v>
      </c>
      <c r="B1832" s="27">
        <f>IFERROR(__xludf.DUMMYFUNCTION("""COMPUTED_VALUE"""),42257.0)</f>
        <v>42257</v>
      </c>
      <c r="C1832" s="26" t="str">
        <f>IFERROR(__xludf.DUMMYFUNCTION("""COMPUTED_VALUE"""),"Aimee Bixby")</f>
        <v>Aimee Bixby</v>
      </c>
      <c r="D1832" s="26" t="str">
        <f>IFERROR(__xludf.DUMMYFUNCTION("""COMPUTED_VALUE"""),"Consumer")</f>
        <v>Consumer</v>
      </c>
      <c r="E1832" s="26" t="str">
        <f>IFERROR(__xludf.DUMMYFUNCTION("""COMPUTED_VALUE"""),"Central")</f>
        <v>Central</v>
      </c>
      <c r="F1832" s="26">
        <f>IFERROR(__xludf.DUMMYFUNCTION("""COMPUTED_VALUE"""),14.94)</f>
        <v>14.94</v>
      </c>
      <c r="G1832" s="26">
        <f>IFERROR(__xludf.DUMMYFUNCTION("""COMPUTED_VALUE"""),3.0)</f>
        <v>3</v>
      </c>
      <c r="H1832" s="26">
        <f>IFERROR(__xludf.DUMMYFUNCTION("""COMPUTED_VALUE"""),7.0218)</f>
        <v>7.0218</v>
      </c>
    </row>
    <row r="1833">
      <c r="A1833" s="26" t="str">
        <f>IFERROR(__xludf.DUMMYFUNCTION("""COMPUTED_VALUE"""),"US-2015-165449")</f>
        <v>US-2015-165449</v>
      </c>
      <c r="B1833" s="27">
        <f>IFERROR(__xludf.DUMMYFUNCTION("""COMPUTED_VALUE"""),42330.0)</f>
        <v>42330</v>
      </c>
      <c r="C1833" s="26" t="str">
        <f>IFERROR(__xludf.DUMMYFUNCTION("""COMPUTED_VALUE"""),"Anne Pryor")</f>
        <v>Anne Pryor</v>
      </c>
      <c r="D1833" s="26" t="str">
        <f>IFERROR(__xludf.DUMMYFUNCTION("""COMPUTED_VALUE"""),"Home Office")</f>
        <v>Home Office</v>
      </c>
      <c r="E1833" s="26" t="str">
        <f>IFERROR(__xludf.DUMMYFUNCTION("""COMPUTED_VALUE"""),"Central")</f>
        <v>Central</v>
      </c>
      <c r="F1833" s="26">
        <f>IFERROR(__xludf.DUMMYFUNCTION("""COMPUTED_VALUE"""),27.168)</f>
        <v>27.168</v>
      </c>
      <c r="G1833" s="26">
        <f>IFERROR(__xludf.DUMMYFUNCTION("""COMPUTED_VALUE"""),4.0)</f>
        <v>4</v>
      </c>
      <c r="H1833" s="26">
        <f>IFERROR(__xludf.DUMMYFUNCTION("""COMPUTED_VALUE"""),-1.3584)</f>
        <v>-1.3584</v>
      </c>
    </row>
    <row r="1834">
      <c r="A1834" s="26" t="str">
        <f>IFERROR(__xludf.DUMMYFUNCTION("""COMPUTED_VALUE"""),"US-2015-122140")</f>
        <v>US-2015-122140</v>
      </c>
      <c r="B1834" s="27">
        <f>IFERROR(__xludf.DUMMYFUNCTION("""COMPUTED_VALUE"""),42096.0)</f>
        <v>42096</v>
      </c>
      <c r="C1834" s="26" t="str">
        <f>IFERROR(__xludf.DUMMYFUNCTION("""COMPUTED_VALUE"""),"Michael Oakman")</f>
        <v>Michael Oakman</v>
      </c>
      <c r="D1834" s="26" t="str">
        <f>IFERROR(__xludf.DUMMYFUNCTION("""COMPUTED_VALUE"""),"Consumer")</f>
        <v>Consumer</v>
      </c>
      <c r="E1834" s="26" t="str">
        <f>IFERROR(__xludf.DUMMYFUNCTION("""COMPUTED_VALUE"""),"Central")</f>
        <v>Central</v>
      </c>
      <c r="F1834" s="26">
        <f>IFERROR(__xludf.DUMMYFUNCTION("""COMPUTED_VALUE"""),32.192)</f>
        <v>32.192</v>
      </c>
      <c r="G1834" s="26">
        <f>IFERROR(__xludf.DUMMYFUNCTION("""COMPUTED_VALUE"""),2.0)</f>
        <v>2</v>
      </c>
      <c r="H1834" s="26">
        <f>IFERROR(__xludf.DUMMYFUNCTION("""COMPUTED_VALUE"""),-80.48)</f>
        <v>-80.48</v>
      </c>
    </row>
    <row r="1835">
      <c r="A1835" s="26" t="str">
        <f>IFERROR(__xludf.DUMMYFUNCTION("""COMPUTED_VALUE"""),"CA-2015-122623")</f>
        <v>CA-2015-122623</v>
      </c>
      <c r="B1835" s="27">
        <f>IFERROR(__xludf.DUMMYFUNCTION("""COMPUTED_VALUE"""),42254.0)</f>
        <v>42254</v>
      </c>
      <c r="C1835" s="26" t="str">
        <f>IFERROR(__xludf.DUMMYFUNCTION("""COMPUTED_VALUE"""),"Charles Crestani")</f>
        <v>Charles Crestani</v>
      </c>
      <c r="D1835" s="26" t="str">
        <f>IFERROR(__xludf.DUMMYFUNCTION("""COMPUTED_VALUE"""),"Consumer")</f>
        <v>Consumer</v>
      </c>
      <c r="E1835" s="26" t="str">
        <f>IFERROR(__xludf.DUMMYFUNCTION("""COMPUTED_VALUE"""),"Central")</f>
        <v>Central</v>
      </c>
      <c r="F1835" s="26">
        <f>IFERROR(__xludf.DUMMYFUNCTION("""COMPUTED_VALUE"""),47.516)</f>
        <v>47.516</v>
      </c>
      <c r="G1835" s="26">
        <f>IFERROR(__xludf.DUMMYFUNCTION("""COMPUTED_VALUE"""),2.0)</f>
        <v>2</v>
      </c>
      <c r="H1835" s="26">
        <f>IFERROR(__xludf.DUMMYFUNCTION("""COMPUTED_VALUE"""),-2.0364)</f>
        <v>-2.0364</v>
      </c>
    </row>
    <row r="1836">
      <c r="A1836" s="26" t="str">
        <f>IFERROR(__xludf.DUMMYFUNCTION("""COMPUTED_VALUE"""),"CA-2015-135685")</f>
        <v>CA-2015-135685</v>
      </c>
      <c r="B1836" s="27">
        <f>IFERROR(__xludf.DUMMYFUNCTION("""COMPUTED_VALUE"""),42324.0)</f>
        <v>42324</v>
      </c>
      <c r="C1836" s="26" t="str">
        <f>IFERROR(__xludf.DUMMYFUNCTION("""COMPUTED_VALUE"""),"Mike Pelletier")</f>
        <v>Mike Pelletier</v>
      </c>
      <c r="D1836" s="26" t="str">
        <f>IFERROR(__xludf.DUMMYFUNCTION("""COMPUTED_VALUE"""),"Home Office")</f>
        <v>Home Office</v>
      </c>
      <c r="E1836" s="26" t="str">
        <f>IFERROR(__xludf.DUMMYFUNCTION("""COMPUTED_VALUE"""),"Central")</f>
        <v>Central</v>
      </c>
      <c r="F1836" s="26">
        <f>IFERROR(__xludf.DUMMYFUNCTION("""COMPUTED_VALUE"""),179.82)</f>
        <v>179.82</v>
      </c>
      <c r="G1836" s="26">
        <f>IFERROR(__xludf.DUMMYFUNCTION("""COMPUTED_VALUE"""),9.0)</f>
        <v>9</v>
      </c>
      <c r="H1836" s="26">
        <f>IFERROR(__xludf.DUMMYFUNCTION("""COMPUTED_VALUE"""),84.5154)</f>
        <v>84.5154</v>
      </c>
    </row>
    <row r="1837">
      <c r="A1837" s="26" t="str">
        <f>IFERROR(__xludf.DUMMYFUNCTION("""COMPUTED_VALUE"""),"US-2015-114839")</f>
        <v>US-2015-114839</v>
      </c>
      <c r="B1837" s="27">
        <f>IFERROR(__xludf.DUMMYFUNCTION("""COMPUTED_VALUE"""),42120.0)</f>
        <v>42120</v>
      </c>
      <c r="C1837" s="26" t="str">
        <f>IFERROR(__xludf.DUMMYFUNCTION("""COMPUTED_VALUE"""),"Pierre Wener")</f>
        <v>Pierre Wener</v>
      </c>
      <c r="D1837" s="26" t="str">
        <f>IFERROR(__xludf.DUMMYFUNCTION("""COMPUTED_VALUE"""),"Consumer")</f>
        <v>Consumer</v>
      </c>
      <c r="E1837" s="26" t="str">
        <f>IFERROR(__xludf.DUMMYFUNCTION("""COMPUTED_VALUE"""),"Central")</f>
        <v>Central</v>
      </c>
      <c r="F1837" s="26">
        <f>IFERROR(__xludf.DUMMYFUNCTION("""COMPUTED_VALUE"""),408.422)</f>
        <v>408.422</v>
      </c>
      <c r="G1837" s="26">
        <f>IFERROR(__xludf.DUMMYFUNCTION("""COMPUTED_VALUE"""),2.0)</f>
        <v>2</v>
      </c>
      <c r="H1837" s="26">
        <f>IFERROR(__xludf.DUMMYFUNCTION("""COMPUTED_VALUE"""),-5.8346)</f>
        <v>-5.8346</v>
      </c>
    </row>
    <row r="1838">
      <c r="A1838" s="26" t="str">
        <f>IFERROR(__xludf.DUMMYFUNCTION("""COMPUTED_VALUE"""),"CA-2015-134747")</f>
        <v>CA-2015-134747</v>
      </c>
      <c r="B1838" s="27">
        <f>IFERROR(__xludf.DUMMYFUNCTION("""COMPUTED_VALUE"""),42289.0)</f>
        <v>42289</v>
      </c>
      <c r="C1838" s="26" t="str">
        <f>IFERROR(__xludf.DUMMYFUNCTION("""COMPUTED_VALUE"""),"Daniel Lacy")</f>
        <v>Daniel Lacy</v>
      </c>
      <c r="D1838" s="26" t="str">
        <f>IFERROR(__xludf.DUMMYFUNCTION("""COMPUTED_VALUE"""),"Consumer")</f>
        <v>Consumer</v>
      </c>
      <c r="E1838" s="26" t="str">
        <f>IFERROR(__xludf.DUMMYFUNCTION("""COMPUTED_VALUE"""),"Central")</f>
        <v>Central</v>
      </c>
      <c r="F1838" s="26">
        <f>IFERROR(__xludf.DUMMYFUNCTION("""COMPUTED_VALUE"""),135.72)</f>
        <v>135.72</v>
      </c>
      <c r="G1838" s="26">
        <f>IFERROR(__xludf.DUMMYFUNCTION("""COMPUTED_VALUE"""),3.0)</f>
        <v>3</v>
      </c>
      <c r="H1838" s="26">
        <f>IFERROR(__xludf.DUMMYFUNCTION("""COMPUTED_VALUE"""),35.2872)</f>
        <v>35.2872</v>
      </c>
    </row>
    <row r="1839">
      <c r="A1839" s="26" t="str">
        <f>IFERROR(__xludf.DUMMYFUNCTION("""COMPUTED_VALUE"""),"US-2015-141453")</f>
        <v>US-2015-141453</v>
      </c>
      <c r="B1839" s="27">
        <f>IFERROR(__xludf.DUMMYFUNCTION("""COMPUTED_VALUE"""),42338.0)</f>
        <v>42338</v>
      </c>
      <c r="C1839" s="26" t="str">
        <f>IFERROR(__xludf.DUMMYFUNCTION("""COMPUTED_VALUE"""),"Deborah Brumfield")</f>
        <v>Deborah Brumfield</v>
      </c>
      <c r="D1839" s="26" t="str">
        <f>IFERROR(__xludf.DUMMYFUNCTION("""COMPUTED_VALUE"""),"Home Office")</f>
        <v>Home Office</v>
      </c>
      <c r="E1839" s="26" t="str">
        <f>IFERROR(__xludf.DUMMYFUNCTION("""COMPUTED_VALUE"""),"Central")</f>
        <v>Central</v>
      </c>
      <c r="F1839" s="26">
        <f>IFERROR(__xludf.DUMMYFUNCTION("""COMPUTED_VALUE"""),3.882)</f>
        <v>3.882</v>
      </c>
      <c r="G1839" s="26">
        <f>IFERROR(__xludf.DUMMYFUNCTION("""COMPUTED_VALUE"""),3.0)</f>
        <v>3</v>
      </c>
      <c r="H1839" s="26">
        <f>IFERROR(__xludf.DUMMYFUNCTION("""COMPUTED_VALUE"""),-5.823)</f>
        <v>-5.823</v>
      </c>
    </row>
    <row r="1840">
      <c r="A1840" s="26" t="str">
        <f>IFERROR(__xludf.DUMMYFUNCTION("""COMPUTED_VALUE"""),"CA-2015-137512")</f>
        <v>CA-2015-137512</v>
      </c>
      <c r="B1840" s="27">
        <f>IFERROR(__xludf.DUMMYFUNCTION("""COMPUTED_VALUE"""),42131.0)</f>
        <v>42131</v>
      </c>
      <c r="C1840" s="26" t="str">
        <f>IFERROR(__xludf.DUMMYFUNCTION("""COMPUTED_VALUE"""),"Anna Gayman")</f>
        <v>Anna Gayman</v>
      </c>
      <c r="D1840" s="26" t="str">
        <f>IFERROR(__xludf.DUMMYFUNCTION("""COMPUTED_VALUE"""),"Consumer")</f>
        <v>Consumer</v>
      </c>
      <c r="E1840" s="26" t="str">
        <f>IFERROR(__xludf.DUMMYFUNCTION("""COMPUTED_VALUE"""),"Central")</f>
        <v>Central</v>
      </c>
      <c r="F1840" s="26">
        <f>IFERROR(__xludf.DUMMYFUNCTION("""COMPUTED_VALUE"""),244.006)</f>
        <v>244.006</v>
      </c>
      <c r="G1840" s="26">
        <f>IFERROR(__xludf.DUMMYFUNCTION("""COMPUTED_VALUE"""),2.0)</f>
        <v>2</v>
      </c>
      <c r="H1840" s="26">
        <f>IFERROR(__xludf.DUMMYFUNCTION("""COMPUTED_VALUE"""),-31.3722)</f>
        <v>-31.3722</v>
      </c>
    </row>
    <row r="1841">
      <c r="A1841" s="26" t="str">
        <f>IFERROR(__xludf.DUMMYFUNCTION("""COMPUTED_VALUE"""),"CA-2015-130610")</f>
        <v>CA-2015-130610</v>
      </c>
      <c r="B1841" s="27">
        <f>IFERROR(__xludf.DUMMYFUNCTION("""COMPUTED_VALUE"""),42190.0)</f>
        <v>42190</v>
      </c>
      <c r="C1841" s="26" t="str">
        <f>IFERROR(__xludf.DUMMYFUNCTION("""COMPUTED_VALUE"""),"Victor Preis")</f>
        <v>Victor Preis</v>
      </c>
      <c r="D1841" s="26" t="str">
        <f>IFERROR(__xludf.DUMMYFUNCTION("""COMPUTED_VALUE"""),"Home Office")</f>
        <v>Home Office</v>
      </c>
      <c r="E1841" s="26" t="str">
        <f>IFERROR(__xludf.DUMMYFUNCTION("""COMPUTED_VALUE"""),"Central")</f>
        <v>Central</v>
      </c>
      <c r="F1841" s="26">
        <f>IFERROR(__xludf.DUMMYFUNCTION("""COMPUTED_VALUE"""),19.0)</f>
        <v>19</v>
      </c>
      <c r="G1841" s="26">
        <f>IFERROR(__xludf.DUMMYFUNCTION("""COMPUTED_VALUE"""),5.0)</f>
        <v>5</v>
      </c>
      <c r="H1841" s="26">
        <f>IFERROR(__xludf.DUMMYFUNCTION("""COMPUTED_VALUE"""),8.93)</f>
        <v>8.93</v>
      </c>
    </row>
    <row r="1842">
      <c r="A1842" s="26" t="str">
        <f>IFERROR(__xludf.DUMMYFUNCTION("""COMPUTED_VALUE"""),"CA-2015-168480")</f>
        <v>CA-2015-168480</v>
      </c>
      <c r="B1842" s="27">
        <f>IFERROR(__xludf.DUMMYFUNCTION("""COMPUTED_VALUE"""),42268.0)</f>
        <v>42268</v>
      </c>
      <c r="C1842" s="26" t="str">
        <f>IFERROR(__xludf.DUMMYFUNCTION("""COMPUTED_VALUE"""),"Dario Medina")</f>
        <v>Dario Medina</v>
      </c>
      <c r="D1842" s="26" t="str">
        <f>IFERROR(__xludf.DUMMYFUNCTION("""COMPUTED_VALUE"""),"Corporate")</f>
        <v>Corporate</v>
      </c>
      <c r="E1842" s="26" t="str">
        <f>IFERROR(__xludf.DUMMYFUNCTION("""COMPUTED_VALUE"""),"Central")</f>
        <v>Central</v>
      </c>
      <c r="F1842" s="26">
        <f>IFERROR(__xludf.DUMMYFUNCTION("""COMPUTED_VALUE"""),194.32)</f>
        <v>194.32</v>
      </c>
      <c r="G1842" s="26">
        <f>IFERROR(__xludf.DUMMYFUNCTION("""COMPUTED_VALUE"""),4.0)</f>
        <v>4</v>
      </c>
      <c r="H1842" s="26">
        <f>IFERROR(__xludf.DUMMYFUNCTION("""COMPUTED_VALUE"""),31.0912)</f>
        <v>31.0912</v>
      </c>
    </row>
    <row r="1843">
      <c r="A1843" s="26" t="str">
        <f>IFERROR(__xludf.DUMMYFUNCTION("""COMPUTED_VALUE"""),"US-2015-100377")</f>
        <v>US-2015-100377</v>
      </c>
      <c r="B1843" s="27">
        <f>IFERROR(__xludf.DUMMYFUNCTION("""COMPUTED_VALUE"""),42244.0)</f>
        <v>42244</v>
      </c>
      <c r="C1843" s="26" t="str">
        <f>IFERROR(__xludf.DUMMYFUNCTION("""COMPUTED_VALUE"""),"Todd Sumrall")</f>
        <v>Todd Sumrall</v>
      </c>
      <c r="D1843" s="26" t="str">
        <f>IFERROR(__xludf.DUMMYFUNCTION("""COMPUTED_VALUE"""),"Corporate")</f>
        <v>Corporate</v>
      </c>
      <c r="E1843" s="26" t="str">
        <f>IFERROR(__xludf.DUMMYFUNCTION("""COMPUTED_VALUE"""),"Central")</f>
        <v>Central</v>
      </c>
      <c r="F1843" s="26">
        <f>IFERROR(__xludf.DUMMYFUNCTION("""COMPUTED_VALUE"""),2799.96)</f>
        <v>2799.96</v>
      </c>
      <c r="G1843" s="26">
        <f>IFERROR(__xludf.DUMMYFUNCTION("""COMPUTED_VALUE"""),5.0)</f>
        <v>5</v>
      </c>
      <c r="H1843" s="26">
        <f>IFERROR(__xludf.DUMMYFUNCTION("""COMPUTED_VALUE"""),874.9875)</f>
        <v>874.9875</v>
      </c>
    </row>
    <row r="1844">
      <c r="A1844" s="26" t="str">
        <f>IFERROR(__xludf.DUMMYFUNCTION("""COMPUTED_VALUE"""),"CA-2015-114468")</f>
        <v>CA-2015-114468</v>
      </c>
      <c r="B1844" s="27">
        <f>IFERROR(__xludf.DUMMYFUNCTION("""COMPUTED_VALUE"""),42239.0)</f>
        <v>42239</v>
      </c>
      <c r="C1844" s="26" t="str">
        <f>IFERROR(__xludf.DUMMYFUNCTION("""COMPUTED_VALUE"""),"Tamara Dahlen")</f>
        <v>Tamara Dahlen</v>
      </c>
      <c r="D1844" s="26" t="str">
        <f>IFERROR(__xludf.DUMMYFUNCTION("""COMPUTED_VALUE"""),"Consumer")</f>
        <v>Consumer</v>
      </c>
      <c r="E1844" s="26" t="str">
        <f>IFERROR(__xludf.DUMMYFUNCTION("""COMPUTED_VALUE"""),"Central")</f>
        <v>Central</v>
      </c>
      <c r="F1844" s="26">
        <f>IFERROR(__xludf.DUMMYFUNCTION("""COMPUTED_VALUE"""),31.68)</f>
        <v>31.68</v>
      </c>
      <c r="G1844" s="26">
        <f>IFERROR(__xludf.DUMMYFUNCTION("""COMPUTED_VALUE"""),4.0)</f>
        <v>4</v>
      </c>
      <c r="H1844" s="26">
        <f>IFERROR(__xludf.DUMMYFUNCTION("""COMPUTED_VALUE"""),2.772)</f>
        <v>2.772</v>
      </c>
    </row>
    <row r="1845">
      <c r="A1845" s="26" t="str">
        <f>IFERROR(__xludf.DUMMYFUNCTION("""COMPUTED_VALUE"""),"US-2015-163783")</f>
        <v>US-2015-163783</v>
      </c>
      <c r="B1845" s="27">
        <f>IFERROR(__xludf.DUMMYFUNCTION("""COMPUTED_VALUE"""),42365.0)</f>
        <v>42365</v>
      </c>
      <c r="C1845" s="26" t="str">
        <f>IFERROR(__xludf.DUMMYFUNCTION("""COMPUTED_VALUE"""),"Daniel Raglin")</f>
        <v>Daniel Raglin</v>
      </c>
      <c r="D1845" s="26" t="str">
        <f>IFERROR(__xludf.DUMMYFUNCTION("""COMPUTED_VALUE"""),"Home Office")</f>
        <v>Home Office</v>
      </c>
      <c r="E1845" s="26" t="str">
        <f>IFERROR(__xludf.DUMMYFUNCTION("""COMPUTED_VALUE"""),"Central")</f>
        <v>Central</v>
      </c>
      <c r="F1845" s="26">
        <f>IFERROR(__xludf.DUMMYFUNCTION("""COMPUTED_VALUE"""),12.672)</f>
        <v>12.672</v>
      </c>
      <c r="G1845" s="26">
        <f>IFERROR(__xludf.DUMMYFUNCTION("""COMPUTED_VALUE"""),3.0)</f>
        <v>3</v>
      </c>
      <c r="H1845" s="26">
        <f>IFERROR(__xludf.DUMMYFUNCTION("""COMPUTED_VALUE"""),-3.168)</f>
        <v>-3.168</v>
      </c>
    </row>
    <row r="1846">
      <c r="A1846" s="26" t="str">
        <f>IFERROR(__xludf.DUMMYFUNCTION("""COMPUTED_VALUE"""),"CA-2015-129700")</f>
        <v>CA-2015-129700</v>
      </c>
      <c r="B1846" s="27">
        <f>IFERROR(__xludf.DUMMYFUNCTION("""COMPUTED_VALUE"""),42128.0)</f>
        <v>42128</v>
      </c>
      <c r="C1846" s="26" t="str">
        <f>IFERROR(__xludf.DUMMYFUNCTION("""COMPUTED_VALUE"""),"Laura Armstrong")</f>
        <v>Laura Armstrong</v>
      </c>
      <c r="D1846" s="26" t="str">
        <f>IFERROR(__xludf.DUMMYFUNCTION("""COMPUTED_VALUE"""),"Corporate")</f>
        <v>Corporate</v>
      </c>
      <c r="E1846" s="26" t="str">
        <f>IFERROR(__xludf.DUMMYFUNCTION("""COMPUTED_VALUE"""),"Central")</f>
        <v>Central</v>
      </c>
      <c r="F1846" s="26">
        <f>IFERROR(__xludf.DUMMYFUNCTION("""COMPUTED_VALUE"""),22.288)</f>
        <v>22.288</v>
      </c>
      <c r="G1846" s="26">
        <f>IFERROR(__xludf.DUMMYFUNCTION("""COMPUTED_VALUE"""),7.0)</f>
        <v>7</v>
      </c>
      <c r="H1846" s="26">
        <f>IFERROR(__xludf.DUMMYFUNCTION("""COMPUTED_VALUE"""),-8.9152)</f>
        <v>-8.9152</v>
      </c>
    </row>
    <row r="1847">
      <c r="A1847" s="26" t="str">
        <f>IFERROR(__xludf.DUMMYFUNCTION("""COMPUTED_VALUE"""),"CA-2015-153381")</f>
        <v>CA-2015-153381</v>
      </c>
      <c r="B1847" s="27">
        <f>IFERROR(__xludf.DUMMYFUNCTION("""COMPUTED_VALUE"""),42271.0)</f>
        <v>42271</v>
      </c>
      <c r="C1847" s="26" t="str">
        <f>IFERROR(__xludf.DUMMYFUNCTION("""COMPUTED_VALUE"""),"Deanra Eno")</f>
        <v>Deanra Eno</v>
      </c>
      <c r="D1847" s="26" t="str">
        <f>IFERROR(__xludf.DUMMYFUNCTION("""COMPUTED_VALUE"""),"Home Office")</f>
        <v>Home Office</v>
      </c>
      <c r="E1847" s="26" t="str">
        <f>IFERROR(__xludf.DUMMYFUNCTION("""COMPUTED_VALUE"""),"Central")</f>
        <v>Central</v>
      </c>
      <c r="F1847" s="26">
        <f>IFERROR(__xludf.DUMMYFUNCTION("""COMPUTED_VALUE"""),15.24)</f>
        <v>15.24</v>
      </c>
      <c r="G1847" s="26">
        <f>IFERROR(__xludf.DUMMYFUNCTION("""COMPUTED_VALUE"""),4.0)</f>
        <v>4</v>
      </c>
      <c r="H1847" s="26">
        <f>IFERROR(__xludf.DUMMYFUNCTION("""COMPUTED_VALUE"""),6.858)</f>
        <v>6.858</v>
      </c>
    </row>
    <row r="1848">
      <c r="A1848" s="26" t="str">
        <f>IFERROR(__xludf.DUMMYFUNCTION("""COMPUTED_VALUE"""),"US-2015-100531")</f>
        <v>US-2015-100531</v>
      </c>
      <c r="B1848" s="27">
        <f>IFERROR(__xludf.DUMMYFUNCTION("""COMPUTED_VALUE"""),42274.0)</f>
        <v>42274</v>
      </c>
      <c r="C1848" s="26" t="str">
        <f>IFERROR(__xludf.DUMMYFUNCTION("""COMPUTED_VALUE"""),"Neoma Murray")</f>
        <v>Neoma Murray</v>
      </c>
      <c r="D1848" s="26" t="str">
        <f>IFERROR(__xludf.DUMMYFUNCTION("""COMPUTED_VALUE"""),"Consumer")</f>
        <v>Consumer</v>
      </c>
      <c r="E1848" s="26" t="str">
        <f>IFERROR(__xludf.DUMMYFUNCTION("""COMPUTED_VALUE"""),"Central")</f>
        <v>Central</v>
      </c>
      <c r="F1848" s="26">
        <f>IFERROR(__xludf.DUMMYFUNCTION("""COMPUTED_VALUE"""),15.08)</f>
        <v>15.08</v>
      </c>
      <c r="G1848" s="26">
        <f>IFERROR(__xludf.DUMMYFUNCTION("""COMPUTED_VALUE"""),2.0)</f>
        <v>2</v>
      </c>
      <c r="H1848" s="26">
        <f>IFERROR(__xludf.DUMMYFUNCTION("""COMPUTED_VALUE"""),-22.62)</f>
        <v>-22.62</v>
      </c>
    </row>
    <row r="1849">
      <c r="A1849" s="26" t="str">
        <f>IFERROR(__xludf.DUMMYFUNCTION("""COMPUTED_VALUE"""),"CA-2015-157322")</f>
        <v>CA-2015-157322</v>
      </c>
      <c r="B1849" s="27">
        <f>IFERROR(__xludf.DUMMYFUNCTION("""COMPUTED_VALUE"""),42187.0)</f>
        <v>42187</v>
      </c>
      <c r="C1849" s="26" t="str">
        <f>IFERROR(__xludf.DUMMYFUNCTION("""COMPUTED_VALUE"""),"Rob Haberlin")</f>
        <v>Rob Haberlin</v>
      </c>
      <c r="D1849" s="26" t="str">
        <f>IFERROR(__xludf.DUMMYFUNCTION("""COMPUTED_VALUE"""),"Consumer")</f>
        <v>Consumer</v>
      </c>
      <c r="E1849" s="26" t="str">
        <f>IFERROR(__xludf.DUMMYFUNCTION("""COMPUTED_VALUE"""),"Central")</f>
        <v>Central</v>
      </c>
      <c r="F1849" s="26">
        <f>IFERROR(__xludf.DUMMYFUNCTION("""COMPUTED_VALUE"""),408.422)</f>
        <v>408.422</v>
      </c>
      <c r="G1849" s="26">
        <f>IFERROR(__xludf.DUMMYFUNCTION("""COMPUTED_VALUE"""),2.0)</f>
        <v>2</v>
      </c>
      <c r="H1849" s="26">
        <f>IFERROR(__xludf.DUMMYFUNCTION("""COMPUTED_VALUE"""),-5.8346)</f>
        <v>-5.8346</v>
      </c>
    </row>
    <row r="1850">
      <c r="A1850" s="26" t="str">
        <f>IFERROR(__xludf.DUMMYFUNCTION("""COMPUTED_VALUE"""),"CA-2015-124975")</f>
        <v>CA-2015-124975</v>
      </c>
      <c r="B1850" s="27">
        <f>IFERROR(__xludf.DUMMYFUNCTION("""COMPUTED_VALUE"""),42177.0)</f>
        <v>42177</v>
      </c>
      <c r="C1850" s="26" t="str">
        <f>IFERROR(__xludf.DUMMYFUNCTION("""COMPUTED_VALUE"""),"Michael Grace")</f>
        <v>Michael Grace</v>
      </c>
      <c r="D1850" s="26" t="str">
        <f>IFERROR(__xludf.DUMMYFUNCTION("""COMPUTED_VALUE"""),"Home Office")</f>
        <v>Home Office</v>
      </c>
      <c r="E1850" s="26" t="str">
        <f>IFERROR(__xludf.DUMMYFUNCTION("""COMPUTED_VALUE"""),"Central")</f>
        <v>Central</v>
      </c>
      <c r="F1850" s="26">
        <f>IFERROR(__xludf.DUMMYFUNCTION("""COMPUTED_VALUE"""),796.425)</f>
        <v>796.425</v>
      </c>
      <c r="G1850" s="26">
        <f>IFERROR(__xludf.DUMMYFUNCTION("""COMPUTED_VALUE"""),7.0)</f>
        <v>7</v>
      </c>
      <c r="H1850" s="26">
        <f>IFERROR(__xludf.DUMMYFUNCTION("""COMPUTED_VALUE"""),-525.6405)</f>
        <v>-525.6405</v>
      </c>
    </row>
    <row r="1851">
      <c r="A1851" s="26" t="str">
        <f>IFERROR(__xludf.DUMMYFUNCTION("""COMPUTED_VALUE"""),"CA-2015-121650")</f>
        <v>CA-2015-121650</v>
      </c>
      <c r="B1851" s="27">
        <f>IFERROR(__xludf.DUMMYFUNCTION("""COMPUTED_VALUE"""),42348.0)</f>
        <v>42348</v>
      </c>
      <c r="C1851" s="26" t="str">
        <f>IFERROR(__xludf.DUMMYFUNCTION("""COMPUTED_VALUE"""),"Keith Dawkins")</f>
        <v>Keith Dawkins</v>
      </c>
      <c r="D1851" s="26" t="str">
        <f>IFERROR(__xludf.DUMMYFUNCTION("""COMPUTED_VALUE"""),"Corporate")</f>
        <v>Corporate</v>
      </c>
      <c r="E1851" s="26" t="str">
        <f>IFERROR(__xludf.DUMMYFUNCTION("""COMPUTED_VALUE"""),"Central")</f>
        <v>Central</v>
      </c>
      <c r="F1851" s="26">
        <f>IFERROR(__xludf.DUMMYFUNCTION("""COMPUTED_VALUE"""),3.9)</f>
        <v>3.9</v>
      </c>
      <c r="G1851" s="26">
        <f>IFERROR(__xludf.DUMMYFUNCTION("""COMPUTED_VALUE"""),2.0)</f>
        <v>2</v>
      </c>
      <c r="H1851" s="26">
        <f>IFERROR(__xludf.DUMMYFUNCTION("""COMPUTED_VALUE"""),1.521)</f>
        <v>1.521</v>
      </c>
    </row>
    <row r="1852">
      <c r="A1852" s="26" t="str">
        <f>IFERROR(__xludf.DUMMYFUNCTION("""COMPUTED_VALUE"""),"CA-2015-103205")</f>
        <v>CA-2015-103205</v>
      </c>
      <c r="B1852" s="27">
        <f>IFERROR(__xludf.DUMMYFUNCTION("""COMPUTED_VALUE"""),42346.0)</f>
        <v>42346</v>
      </c>
      <c r="C1852" s="26" t="str">
        <f>IFERROR(__xludf.DUMMYFUNCTION("""COMPUTED_VALUE"""),"Joel Jenkins")</f>
        <v>Joel Jenkins</v>
      </c>
      <c r="D1852" s="26" t="str">
        <f>IFERROR(__xludf.DUMMYFUNCTION("""COMPUTED_VALUE"""),"Home Office")</f>
        <v>Home Office</v>
      </c>
      <c r="E1852" s="26" t="str">
        <f>IFERROR(__xludf.DUMMYFUNCTION("""COMPUTED_VALUE"""),"Central")</f>
        <v>Central</v>
      </c>
      <c r="F1852" s="26">
        <f>IFERROR(__xludf.DUMMYFUNCTION("""COMPUTED_VALUE"""),119.96)</f>
        <v>119.96</v>
      </c>
      <c r="G1852" s="26">
        <f>IFERROR(__xludf.DUMMYFUNCTION("""COMPUTED_VALUE"""),5.0)</f>
        <v>5</v>
      </c>
      <c r="H1852" s="26">
        <f>IFERROR(__xludf.DUMMYFUNCTION("""COMPUTED_VALUE"""),11.996)</f>
        <v>11.996</v>
      </c>
    </row>
    <row r="1853">
      <c r="A1853" s="26" t="str">
        <f>IFERROR(__xludf.DUMMYFUNCTION("""COMPUTED_VALUE"""),"CA-2015-103961")</f>
        <v>CA-2015-103961</v>
      </c>
      <c r="B1853" s="27">
        <f>IFERROR(__xludf.DUMMYFUNCTION("""COMPUTED_VALUE"""),42313.0)</f>
        <v>42313</v>
      </c>
      <c r="C1853" s="26" t="str">
        <f>IFERROR(__xludf.DUMMYFUNCTION("""COMPUTED_VALUE"""),"Nathan Gelder")</f>
        <v>Nathan Gelder</v>
      </c>
      <c r="D1853" s="26" t="str">
        <f>IFERROR(__xludf.DUMMYFUNCTION("""COMPUTED_VALUE"""),"Consumer")</f>
        <v>Consumer</v>
      </c>
      <c r="E1853" s="26" t="str">
        <f>IFERROR(__xludf.DUMMYFUNCTION("""COMPUTED_VALUE"""),"Central")</f>
        <v>Central</v>
      </c>
      <c r="F1853" s="26">
        <f>IFERROR(__xludf.DUMMYFUNCTION("""COMPUTED_VALUE"""),19.824)</f>
        <v>19.824</v>
      </c>
      <c r="G1853" s="26">
        <f>IFERROR(__xludf.DUMMYFUNCTION("""COMPUTED_VALUE"""),6.0)</f>
        <v>6</v>
      </c>
      <c r="H1853" s="26">
        <f>IFERROR(__xludf.DUMMYFUNCTION("""COMPUTED_VALUE"""),6.4428)</f>
        <v>6.4428</v>
      </c>
    </row>
    <row r="1854">
      <c r="A1854" s="26" t="str">
        <f>IFERROR(__xludf.DUMMYFUNCTION("""COMPUTED_VALUE"""),"CA-2015-142377")</f>
        <v>CA-2015-142377</v>
      </c>
      <c r="B1854" s="27">
        <f>IFERROR(__xludf.DUMMYFUNCTION("""COMPUTED_VALUE"""),42342.0)</f>
        <v>42342</v>
      </c>
      <c r="C1854" s="26" t="str">
        <f>IFERROR(__xludf.DUMMYFUNCTION("""COMPUTED_VALUE"""),"Michael Stewart")</f>
        <v>Michael Stewart</v>
      </c>
      <c r="D1854" s="26" t="str">
        <f>IFERROR(__xludf.DUMMYFUNCTION("""COMPUTED_VALUE"""),"Corporate")</f>
        <v>Corporate</v>
      </c>
      <c r="E1854" s="26" t="str">
        <f>IFERROR(__xludf.DUMMYFUNCTION("""COMPUTED_VALUE"""),"Central")</f>
        <v>Central</v>
      </c>
      <c r="F1854" s="26">
        <f>IFERROR(__xludf.DUMMYFUNCTION("""COMPUTED_VALUE"""),85.96)</f>
        <v>85.96</v>
      </c>
      <c r="G1854" s="26">
        <f>IFERROR(__xludf.DUMMYFUNCTION("""COMPUTED_VALUE"""),7.0)</f>
        <v>7</v>
      </c>
      <c r="H1854" s="26">
        <f>IFERROR(__xludf.DUMMYFUNCTION("""COMPUTED_VALUE"""),40.4012)</f>
        <v>40.4012</v>
      </c>
    </row>
    <row r="1855">
      <c r="A1855" s="26" t="str">
        <f>IFERROR(__xludf.DUMMYFUNCTION("""COMPUTED_VALUE"""),"CA-2015-157133")</f>
        <v>CA-2015-157133</v>
      </c>
      <c r="B1855" s="27">
        <f>IFERROR(__xludf.DUMMYFUNCTION("""COMPUTED_VALUE"""),42336.0)</f>
        <v>42336</v>
      </c>
      <c r="C1855" s="26" t="str">
        <f>IFERROR(__xludf.DUMMYFUNCTION("""COMPUTED_VALUE"""),"Lena Creighton")</f>
        <v>Lena Creighton</v>
      </c>
      <c r="D1855" s="26" t="str">
        <f>IFERROR(__xludf.DUMMYFUNCTION("""COMPUTED_VALUE"""),"Consumer")</f>
        <v>Consumer</v>
      </c>
      <c r="E1855" s="26" t="str">
        <f>IFERROR(__xludf.DUMMYFUNCTION("""COMPUTED_VALUE"""),"Central")</f>
        <v>Central</v>
      </c>
      <c r="F1855" s="26">
        <f>IFERROR(__xludf.DUMMYFUNCTION("""COMPUTED_VALUE"""),151.96)</f>
        <v>151.96</v>
      </c>
      <c r="G1855" s="26">
        <f>IFERROR(__xludf.DUMMYFUNCTION("""COMPUTED_VALUE"""),5.0)</f>
        <v>5</v>
      </c>
      <c r="H1855" s="26">
        <f>IFERROR(__xludf.DUMMYFUNCTION("""COMPUTED_VALUE"""),-182.352)</f>
        <v>-182.352</v>
      </c>
    </row>
    <row r="1856">
      <c r="A1856" s="26" t="str">
        <f>IFERROR(__xludf.DUMMYFUNCTION("""COMPUTED_VALUE"""),"CA-2015-121097")</f>
        <v>CA-2015-121097</v>
      </c>
      <c r="B1856" s="27">
        <f>IFERROR(__xludf.DUMMYFUNCTION("""COMPUTED_VALUE"""),42007.0)</f>
        <v>42007</v>
      </c>
      <c r="C1856" s="26" t="str">
        <f>IFERROR(__xludf.DUMMYFUNCTION("""COMPUTED_VALUE"""),"Sylvia Foulston")</f>
        <v>Sylvia Foulston</v>
      </c>
      <c r="D1856" s="26" t="str">
        <f>IFERROR(__xludf.DUMMYFUNCTION("""COMPUTED_VALUE"""),"Corporate")</f>
        <v>Corporate</v>
      </c>
      <c r="E1856" s="26" t="str">
        <f>IFERROR(__xludf.DUMMYFUNCTION("""COMPUTED_VALUE"""),"Central")</f>
        <v>Central</v>
      </c>
      <c r="F1856" s="26">
        <f>IFERROR(__xludf.DUMMYFUNCTION("""COMPUTED_VALUE"""),10.368)</f>
        <v>10.368</v>
      </c>
      <c r="G1856" s="26">
        <f>IFERROR(__xludf.DUMMYFUNCTION("""COMPUTED_VALUE"""),2.0)</f>
        <v>2</v>
      </c>
      <c r="H1856" s="26">
        <f>IFERROR(__xludf.DUMMYFUNCTION("""COMPUTED_VALUE"""),3.6288)</f>
        <v>3.6288</v>
      </c>
    </row>
    <row r="1857">
      <c r="A1857" s="26" t="str">
        <f>IFERROR(__xludf.DUMMYFUNCTION("""COMPUTED_VALUE"""),"CA-2015-118955")</f>
        <v>CA-2015-118955</v>
      </c>
      <c r="B1857" s="27">
        <f>IFERROR(__xludf.DUMMYFUNCTION("""COMPUTED_VALUE"""),42171.0)</f>
        <v>42171</v>
      </c>
      <c r="C1857" s="26" t="str">
        <f>IFERROR(__xludf.DUMMYFUNCTION("""COMPUTED_VALUE"""),"Lycoris Saunders")</f>
        <v>Lycoris Saunders</v>
      </c>
      <c r="D1857" s="26" t="str">
        <f>IFERROR(__xludf.DUMMYFUNCTION("""COMPUTED_VALUE"""),"Consumer")</f>
        <v>Consumer</v>
      </c>
      <c r="E1857" s="26" t="str">
        <f>IFERROR(__xludf.DUMMYFUNCTION("""COMPUTED_VALUE"""),"Central")</f>
        <v>Central</v>
      </c>
      <c r="F1857" s="26">
        <f>IFERROR(__xludf.DUMMYFUNCTION("""COMPUTED_VALUE"""),28.752)</f>
        <v>28.752</v>
      </c>
      <c r="G1857" s="26">
        <f>IFERROR(__xludf.DUMMYFUNCTION("""COMPUTED_VALUE"""),3.0)</f>
        <v>3</v>
      </c>
      <c r="H1857" s="26">
        <f>IFERROR(__xludf.DUMMYFUNCTION("""COMPUTED_VALUE"""),9.3444)</f>
        <v>9.3444</v>
      </c>
    </row>
    <row r="1858">
      <c r="A1858" s="26" t="str">
        <f>IFERROR(__xludf.DUMMYFUNCTION("""COMPUTED_VALUE"""),"CA-2015-113901")</f>
        <v>CA-2015-113901</v>
      </c>
      <c r="B1858" s="27">
        <f>IFERROR(__xludf.DUMMYFUNCTION("""COMPUTED_VALUE"""),42296.0)</f>
        <v>42296</v>
      </c>
      <c r="C1858" s="26" t="str">
        <f>IFERROR(__xludf.DUMMYFUNCTION("""COMPUTED_VALUE"""),"Nicole Hansen")</f>
        <v>Nicole Hansen</v>
      </c>
      <c r="D1858" s="26" t="str">
        <f>IFERROR(__xludf.DUMMYFUNCTION("""COMPUTED_VALUE"""),"Corporate")</f>
        <v>Corporate</v>
      </c>
      <c r="E1858" s="26" t="str">
        <f>IFERROR(__xludf.DUMMYFUNCTION("""COMPUTED_VALUE"""),"Central")</f>
        <v>Central</v>
      </c>
      <c r="F1858" s="26">
        <f>IFERROR(__xludf.DUMMYFUNCTION("""COMPUTED_VALUE"""),38.28)</f>
        <v>38.28</v>
      </c>
      <c r="G1858" s="26">
        <f>IFERROR(__xludf.DUMMYFUNCTION("""COMPUTED_VALUE"""),6.0)</f>
        <v>6</v>
      </c>
      <c r="H1858" s="26">
        <f>IFERROR(__xludf.DUMMYFUNCTION("""COMPUTED_VALUE"""),17.6088)</f>
        <v>17.6088</v>
      </c>
    </row>
    <row r="1859">
      <c r="A1859" s="26" t="str">
        <f>IFERROR(__xludf.DUMMYFUNCTION("""COMPUTED_VALUE"""),"US-2015-163685")</f>
        <v>US-2015-163685</v>
      </c>
      <c r="B1859" s="27">
        <f>IFERROR(__xludf.DUMMYFUNCTION("""COMPUTED_VALUE"""),42156.0)</f>
        <v>42156</v>
      </c>
      <c r="C1859" s="26" t="str">
        <f>IFERROR(__xludf.DUMMYFUNCTION("""COMPUTED_VALUE"""),"Katrina Edelman")</f>
        <v>Katrina Edelman</v>
      </c>
      <c r="D1859" s="26" t="str">
        <f>IFERROR(__xludf.DUMMYFUNCTION("""COMPUTED_VALUE"""),"Corporate")</f>
        <v>Corporate</v>
      </c>
      <c r="E1859" s="26" t="str">
        <f>IFERROR(__xludf.DUMMYFUNCTION("""COMPUTED_VALUE"""),"Central")</f>
        <v>Central</v>
      </c>
      <c r="F1859" s="26">
        <f>IFERROR(__xludf.DUMMYFUNCTION("""COMPUTED_VALUE"""),5.728)</f>
        <v>5.728</v>
      </c>
      <c r="G1859" s="26">
        <f>IFERROR(__xludf.DUMMYFUNCTION("""COMPUTED_VALUE"""),8.0)</f>
        <v>8</v>
      </c>
      <c r="H1859" s="26">
        <f>IFERROR(__xludf.DUMMYFUNCTION("""COMPUTED_VALUE"""),-9.1648)</f>
        <v>-9.1648</v>
      </c>
    </row>
    <row r="1860">
      <c r="A1860" s="26" t="str">
        <f>IFERROR(__xludf.DUMMYFUNCTION("""COMPUTED_VALUE"""),"CA-2015-132374")</f>
        <v>CA-2015-132374</v>
      </c>
      <c r="B1860" s="27">
        <f>IFERROR(__xludf.DUMMYFUNCTION("""COMPUTED_VALUE"""),42057.0)</f>
        <v>42057</v>
      </c>
      <c r="C1860" s="26" t="str">
        <f>IFERROR(__xludf.DUMMYFUNCTION("""COMPUTED_VALUE"""),"Penelope Sewall")</f>
        <v>Penelope Sewall</v>
      </c>
      <c r="D1860" s="26" t="str">
        <f>IFERROR(__xludf.DUMMYFUNCTION("""COMPUTED_VALUE"""),"Home Office")</f>
        <v>Home Office</v>
      </c>
      <c r="E1860" s="26" t="str">
        <f>IFERROR(__xludf.DUMMYFUNCTION("""COMPUTED_VALUE"""),"Central")</f>
        <v>Central</v>
      </c>
      <c r="F1860" s="26">
        <f>IFERROR(__xludf.DUMMYFUNCTION("""COMPUTED_VALUE"""),79.36)</f>
        <v>79.36</v>
      </c>
      <c r="G1860" s="26">
        <f>IFERROR(__xludf.DUMMYFUNCTION("""COMPUTED_VALUE"""),4.0)</f>
        <v>4</v>
      </c>
      <c r="H1860" s="26">
        <f>IFERROR(__xludf.DUMMYFUNCTION("""COMPUTED_VALUE"""),20.6336)</f>
        <v>20.6336</v>
      </c>
    </row>
    <row r="1861">
      <c r="A1861" s="26" t="str">
        <f>IFERROR(__xludf.DUMMYFUNCTION("""COMPUTED_VALUE"""),"CA-2015-105627")</f>
        <v>CA-2015-105627</v>
      </c>
      <c r="B1861" s="27">
        <f>IFERROR(__xludf.DUMMYFUNCTION("""COMPUTED_VALUE"""),42071.0)</f>
        <v>42071</v>
      </c>
      <c r="C1861" s="26" t="str">
        <f>IFERROR(__xludf.DUMMYFUNCTION("""COMPUTED_VALUE"""),"Dana Kaydos")</f>
        <v>Dana Kaydos</v>
      </c>
      <c r="D1861" s="26" t="str">
        <f>IFERROR(__xludf.DUMMYFUNCTION("""COMPUTED_VALUE"""),"Consumer")</f>
        <v>Consumer</v>
      </c>
      <c r="E1861" s="26" t="str">
        <f>IFERROR(__xludf.DUMMYFUNCTION("""COMPUTED_VALUE"""),"Central")</f>
        <v>Central</v>
      </c>
      <c r="F1861" s="26">
        <f>IFERROR(__xludf.DUMMYFUNCTION("""COMPUTED_VALUE"""),512.94)</f>
        <v>512.94</v>
      </c>
      <c r="G1861" s="26">
        <f>IFERROR(__xludf.DUMMYFUNCTION("""COMPUTED_VALUE"""),3.0)</f>
        <v>3</v>
      </c>
      <c r="H1861" s="26">
        <f>IFERROR(__xludf.DUMMYFUNCTION("""COMPUTED_VALUE"""),97.4586)</f>
        <v>97.4586</v>
      </c>
    </row>
    <row r="1862">
      <c r="A1862" s="26" t="str">
        <f>IFERROR(__xludf.DUMMYFUNCTION("""COMPUTED_VALUE"""),"CA-2015-153612")</f>
        <v>CA-2015-153612</v>
      </c>
      <c r="B1862" s="27">
        <f>IFERROR(__xludf.DUMMYFUNCTION("""COMPUTED_VALUE"""),42360.0)</f>
        <v>42360</v>
      </c>
      <c r="C1862" s="26" t="str">
        <f>IFERROR(__xludf.DUMMYFUNCTION("""COMPUTED_VALUE"""),"Beth Thompson")</f>
        <v>Beth Thompson</v>
      </c>
      <c r="D1862" s="26" t="str">
        <f>IFERROR(__xludf.DUMMYFUNCTION("""COMPUTED_VALUE"""),"Home Office")</f>
        <v>Home Office</v>
      </c>
      <c r="E1862" s="26" t="str">
        <f>IFERROR(__xludf.DUMMYFUNCTION("""COMPUTED_VALUE"""),"Central")</f>
        <v>Central</v>
      </c>
      <c r="F1862" s="26">
        <f>IFERROR(__xludf.DUMMYFUNCTION("""COMPUTED_VALUE"""),17.12)</f>
        <v>17.12</v>
      </c>
      <c r="G1862" s="26">
        <f>IFERROR(__xludf.DUMMYFUNCTION("""COMPUTED_VALUE"""),4.0)</f>
        <v>4</v>
      </c>
      <c r="H1862" s="26">
        <f>IFERROR(__xludf.DUMMYFUNCTION("""COMPUTED_VALUE"""),4.9648)</f>
        <v>4.9648</v>
      </c>
    </row>
    <row r="1863">
      <c r="A1863" s="26" t="str">
        <f>IFERROR(__xludf.DUMMYFUNCTION("""COMPUTED_VALUE"""),"CA-2015-148859")</f>
        <v>CA-2015-148859</v>
      </c>
      <c r="B1863" s="27">
        <f>IFERROR(__xludf.DUMMYFUNCTION("""COMPUTED_VALUE"""),42366.0)</f>
        <v>42366</v>
      </c>
      <c r="C1863" s="26" t="str">
        <f>IFERROR(__xludf.DUMMYFUNCTION("""COMPUTED_VALUE"""),"Fred Harton")</f>
        <v>Fred Harton</v>
      </c>
      <c r="D1863" s="26" t="str">
        <f>IFERROR(__xludf.DUMMYFUNCTION("""COMPUTED_VALUE"""),"Consumer")</f>
        <v>Consumer</v>
      </c>
      <c r="E1863" s="26" t="str">
        <f>IFERROR(__xludf.DUMMYFUNCTION("""COMPUTED_VALUE"""),"Central")</f>
        <v>Central</v>
      </c>
      <c r="F1863" s="26">
        <f>IFERROR(__xludf.DUMMYFUNCTION("""COMPUTED_VALUE"""),24.816)</f>
        <v>24.816</v>
      </c>
      <c r="G1863" s="26">
        <f>IFERROR(__xludf.DUMMYFUNCTION("""COMPUTED_VALUE"""),2.0)</f>
        <v>2</v>
      </c>
      <c r="H1863" s="26">
        <f>IFERROR(__xludf.DUMMYFUNCTION("""COMPUTED_VALUE"""),1.551)</f>
        <v>1.551</v>
      </c>
    </row>
    <row r="1864">
      <c r="A1864" s="26" t="str">
        <f>IFERROR(__xludf.DUMMYFUNCTION("""COMPUTED_VALUE"""),"CA-2015-136378")</f>
        <v>CA-2015-136378</v>
      </c>
      <c r="B1864" s="27">
        <f>IFERROR(__xludf.DUMMYFUNCTION("""COMPUTED_VALUE"""),42096.0)</f>
        <v>42096</v>
      </c>
      <c r="C1864" s="26" t="str">
        <f>IFERROR(__xludf.DUMMYFUNCTION("""COMPUTED_VALUE"""),"Cari Sayre")</f>
        <v>Cari Sayre</v>
      </c>
      <c r="D1864" s="26" t="str">
        <f>IFERROR(__xludf.DUMMYFUNCTION("""COMPUTED_VALUE"""),"Corporate")</f>
        <v>Corporate</v>
      </c>
      <c r="E1864" s="26" t="str">
        <f>IFERROR(__xludf.DUMMYFUNCTION("""COMPUTED_VALUE"""),"Central")</f>
        <v>Central</v>
      </c>
      <c r="F1864" s="26">
        <f>IFERROR(__xludf.DUMMYFUNCTION("""COMPUTED_VALUE"""),9.156)</f>
        <v>9.156</v>
      </c>
      <c r="G1864" s="26">
        <f>IFERROR(__xludf.DUMMYFUNCTION("""COMPUTED_VALUE"""),3.0)</f>
        <v>3</v>
      </c>
      <c r="H1864" s="26">
        <f>IFERROR(__xludf.DUMMYFUNCTION("""COMPUTED_VALUE"""),-13.734)</f>
        <v>-13.734</v>
      </c>
    </row>
    <row r="1865">
      <c r="A1865" s="26" t="str">
        <f>IFERROR(__xludf.DUMMYFUNCTION("""COMPUTED_VALUE"""),"CA-2015-156104")</f>
        <v>CA-2015-156104</v>
      </c>
      <c r="B1865" s="27">
        <f>IFERROR(__xludf.DUMMYFUNCTION("""COMPUTED_VALUE"""),42344.0)</f>
        <v>42344</v>
      </c>
      <c r="C1865" s="26" t="str">
        <f>IFERROR(__xludf.DUMMYFUNCTION("""COMPUTED_VALUE"""),"Nora Pelletier")</f>
        <v>Nora Pelletier</v>
      </c>
      <c r="D1865" s="26" t="str">
        <f>IFERROR(__xludf.DUMMYFUNCTION("""COMPUTED_VALUE"""),"Home Office")</f>
        <v>Home Office</v>
      </c>
      <c r="E1865" s="26" t="str">
        <f>IFERROR(__xludf.DUMMYFUNCTION("""COMPUTED_VALUE"""),"Central")</f>
        <v>Central</v>
      </c>
      <c r="F1865" s="26">
        <f>IFERROR(__xludf.DUMMYFUNCTION("""COMPUTED_VALUE"""),999.98)</f>
        <v>999.98</v>
      </c>
      <c r="G1865" s="26">
        <f>IFERROR(__xludf.DUMMYFUNCTION("""COMPUTED_VALUE"""),2.0)</f>
        <v>2</v>
      </c>
      <c r="H1865" s="26">
        <f>IFERROR(__xludf.DUMMYFUNCTION("""COMPUTED_VALUE"""),449.991)</f>
        <v>449.991</v>
      </c>
    </row>
    <row r="1866">
      <c r="A1866" s="26" t="str">
        <f>IFERROR(__xludf.DUMMYFUNCTION("""COMPUTED_VALUE"""),"US-2015-164308")</f>
        <v>US-2015-164308</v>
      </c>
      <c r="B1866" s="27">
        <f>IFERROR(__xludf.DUMMYFUNCTION("""COMPUTED_VALUE"""),42271.0)</f>
        <v>42271</v>
      </c>
      <c r="C1866" s="26" t="str">
        <f>IFERROR(__xludf.DUMMYFUNCTION("""COMPUTED_VALUE"""),"Steve Carroll")</f>
        <v>Steve Carroll</v>
      </c>
      <c r="D1866" s="26" t="str">
        <f>IFERROR(__xludf.DUMMYFUNCTION("""COMPUTED_VALUE"""),"Home Office")</f>
        <v>Home Office</v>
      </c>
      <c r="E1866" s="26" t="str">
        <f>IFERROR(__xludf.DUMMYFUNCTION("""COMPUTED_VALUE"""),"Central")</f>
        <v>Central</v>
      </c>
      <c r="F1866" s="26">
        <f>IFERROR(__xludf.DUMMYFUNCTION("""COMPUTED_VALUE"""),821.94)</f>
        <v>821.94</v>
      </c>
      <c r="G1866" s="26">
        <f>IFERROR(__xludf.DUMMYFUNCTION("""COMPUTED_VALUE"""),6.0)</f>
        <v>6</v>
      </c>
      <c r="H1866" s="26">
        <f>IFERROR(__xludf.DUMMYFUNCTION("""COMPUTED_VALUE"""),213.7044)</f>
        <v>213.7044</v>
      </c>
    </row>
    <row r="1867">
      <c r="A1867" s="26" t="str">
        <f>IFERROR(__xludf.DUMMYFUNCTION("""COMPUTED_VALUE"""),"CA-2015-100685")</f>
        <v>CA-2015-100685</v>
      </c>
      <c r="B1867" s="27">
        <f>IFERROR(__xludf.DUMMYFUNCTION("""COMPUTED_VALUE"""),42357.0)</f>
        <v>42357</v>
      </c>
      <c r="C1867" s="26" t="str">
        <f>IFERROR(__xludf.DUMMYFUNCTION("""COMPUTED_VALUE"""),"Suzanne McNair")</f>
        <v>Suzanne McNair</v>
      </c>
      <c r="D1867" s="26" t="str">
        <f>IFERROR(__xludf.DUMMYFUNCTION("""COMPUTED_VALUE"""),"Corporate")</f>
        <v>Corporate</v>
      </c>
      <c r="E1867" s="26" t="str">
        <f>IFERROR(__xludf.DUMMYFUNCTION("""COMPUTED_VALUE"""),"Central")</f>
        <v>Central</v>
      </c>
      <c r="F1867" s="26">
        <f>IFERROR(__xludf.DUMMYFUNCTION("""COMPUTED_VALUE"""),7.04)</f>
        <v>7.04</v>
      </c>
      <c r="G1867" s="26">
        <f>IFERROR(__xludf.DUMMYFUNCTION("""COMPUTED_VALUE"""),2.0)</f>
        <v>2</v>
      </c>
      <c r="H1867" s="26">
        <f>IFERROR(__xludf.DUMMYFUNCTION("""COMPUTED_VALUE"""),3.3088)</f>
        <v>3.3088</v>
      </c>
    </row>
    <row r="1868">
      <c r="A1868" s="26" t="str">
        <f>IFERROR(__xludf.DUMMYFUNCTION("""COMPUTED_VALUE"""),"CA-2015-153717")</f>
        <v>CA-2015-153717</v>
      </c>
      <c r="B1868" s="27">
        <f>IFERROR(__xludf.DUMMYFUNCTION("""COMPUTED_VALUE"""),42363.0)</f>
        <v>42363</v>
      </c>
      <c r="C1868" s="26" t="str">
        <f>IFERROR(__xludf.DUMMYFUNCTION("""COMPUTED_VALUE"""),"Dionis Lloyd")</f>
        <v>Dionis Lloyd</v>
      </c>
      <c r="D1868" s="26" t="str">
        <f>IFERROR(__xludf.DUMMYFUNCTION("""COMPUTED_VALUE"""),"Corporate")</f>
        <v>Corporate</v>
      </c>
      <c r="E1868" s="26" t="str">
        <f>IFERROR(__xludf.DUMMYFUNCTION("""COMPUTED_VALUE"""),"Central")</f>
        <v>Central</v>
      </c>
      <c r="F1868" s="26">
        <f>IFERROR(__xludf.DUMMYFUNCTION("""COMPUTED_VALUE"""),73.98)</f>
        <v>73.98</v>
      </c>
      <c r="G1868" s="26">
        <f>IFERROR(__xludf.DUMMYFUNCTION("""COMPUTED_VALUE"""),2.0)</f>
        <v>2</v>
      </c>
      <c r="H1868" s="26">
        <f>IFERROR(__xludf.DUMMYFUNCTION("""COMPUTED_VALUE"""),19.9746)</f>
        <v>19.9746</v>
      </c>
    </row>
    <row r="1869">
      <c r="A1869" s="26" t="str">
        <f>IFERROR(__xludf.DUMMYFUNCTION("""COMPUTED_VALUE"""),"CA-2015-116687")</f>
        <v>CA-2015-116687</v>
      </c>
      <c r="B1869" s="27">
        <f>IFERROR(__xludf.DUMMYFUNCTION("""COMPUTED_VALUE"""),42126.0)</f>
        <v>42126</v>
      </c>
      <c r="C1869" s="26" t="str">
        <f>IFERROR(__xludf.DUMMYFUNCTION("""COMPUTED_VALUE"""),"Noah Childs")</f>
        <v>Noah Childs</v>
      </c>
      <c r="D1869" s="26" t="str">
        <f>IFERROR(__xludf.DUMMYFUNCTION("""COMPUTED_VALUE"""),"Corporate")</f>
        <v>Corporate</v>
      </c>
      <c r="E1869" s="26" t="str">
        <f>IFERROR(__xludf.DUMMYFUNCTION("""COMPUTED_VALUE"""),"Central")</f>
        <v>Central</v>
      </c>
      <c r="F1869" s="26">
        <f>IFERROR(__xludf.DUMMYFUNCTION("""COMPUTED_VALUE"""),8.856)</f>
        <v>8.856</v>
      </c>
      <c r="G1869" s="26">
        <f>IFERROR(__xludf.DUMMYFUNCTION("""COMPUTED_VALUE"""),3.0)</f>
        <v>3</v>
      </c>
      <c r="H1869" s="26">
        <f>IFERROR(__xludf.DUMMYFUNCTION("""COMPUTED_VALUE"""),2.9889)</f>
        <v>2.9889</v>
      </c>
    </row>
    <row r="1870">
      <c r="A1870" s="26" t="str">
        <f>IFERROR(__xludf.DUMMYFUNCTION("""COMPUTED_VALUE"""),"CA-2015-129392")</f>
        <v>CA-2015-129392</v>
      </c>
      <c r="B1870" s="27">
        <f>IFERROR(__xludf.DUMMYFUNCTION("""COMPUTED_VALUE"""),42193.0)</f>
        <v>42193</v>
      </c>
      <c r="C1870" s="26" t="str">
        <f>IFERROR(__xludf.DUMMYFUNCTION("""COMPUTED_VALUE"""),"Darrin Martin")</f>
        <v>Darrin Martin</v>
      </c>
      <c r="D1870" s="26" t="str">
        <f>IFERROR(__xludf.DUMMYFUNCTION("""COMPUTED_VALUE"""),"Consumer")</f>
        <v>Consumer</v>
      </c>
      <c r="E1870" s="26" t="str">
        <f>IFERROR(__xludf.DUMMYFUNCTION("""COMPUTED_VALUE"""),"Central")</f>
        <v>Central</v>
      </c>
      <c r="F1870" s="26">
        <f>IFERROR(__xludf.DUMMYFUNCTION("""COMPUTED_VALUE"""),21.12)</f>
        <v>21.12</v>
      </c>
      <c r="G1870" s="26">
        <f>IFERROR(__xludf.DUMMYFUNCTION("""COMPUTED_VALUE"""),5.0)</f>
        <v>5</v>
      </c>
      <c r="H1870" s="26">
        <f>IFERROR(__xludf.DUMMYFUNCTION("""COMPUTED_VALUE"""),6.6)</f>
        <v>6.6</v>
      </c>
    </row>
    <row r="1871">
      <c r="A1871" s="26" t="str">
        <f>IFERROR(__xludf.DUMMYFUNCTION("""COMPUTED_VALUE"""),"CA-2015-123456")</f>
        <v>CA-2015-123456</v>
      </c>
      <c r="B1871" s="27">
        <f>IFERROR(__xludf.DUMMYFUNCTION("""COMPUTED_VALUE"""),42194.0)</f>
        <v>42194</v>
      </c>
      <c r="C1871" s="26" t="str">
        <f>IFERROR(__xludf.DUMMYFUNCTION("""COMPUTED_VALUE"""),"Kean Nguyen")</f>
        <v>Kean Nguyen</v>
      </c>
      <c r="D1871" s="26" t="str">
        <f>IFERROR(__xludf.DUMMYFUNCTION("""COMPUTED_VALUE"""),"Corporate")</f>
        <v>Corporate</v>
      </c>
      <c r="E1871" s="26" t="str">
        <f>IFERROR(__xludf.DUMMYFUNCTION("""COMPUTED_VALUE"""),"Central")</f>
        <v>Central</v>
      </c>
      <c r="F1871" s="26">
        <f>IFERROR(__xludf.DUMMYFUNCTION("""COMPUTED_VALUE"""),48.632)</f>
        <v>48.632</v>
      </c>
      <c r="G1871" s="26">
        <f>IFERROR(__xludf.DUMMYFUNCTION("""COMPUTED_VALUE"""),2.0)</f>
        <v>2</v>
      </c>
      <c r="H1871" s="26">
        <f>IFERROR(__xludf.DUMMYFUNCTION("""COMPUTED_VALUE"""),-121.58)</f>
        <v>-121.58</v>
      </c>
    </row>
    <row r="1872">
      <c r="A1872" s="26" t="str">
        <f>IFERROR(__xludf.DUMMYFUNCTION("""COMPUTED_VALUE"""),"CA-2015-105690")</f>
        <v>CA-2015-105690</v>
      </c>
      <c r="B1872" s="27">
        <f>IFERROR(__xludf.DUMMYFUNCTION("""COMPUTED_VALUE"""),42329.0)</f>
        <v>42329</v>
      </c>
      <c r="C1872" s="26" t="str">
        <f>IFERROR(__xludf.DUMMYFUNCTION("""COMPUTED_VALUE"""),"Carol Adams")</f>
        <v>Carol Adams</v>
      </c>
      <c r="D1872" s="26" t="str">
        <f>IFERROR(__xludf.DUMMYFUNCTION("""COMPUTED_VALUE"""),"Corporate")</f>
        <v>Corporate</v>
      </c>
      <c r="E1872" s="26" t="str">
        <f>IFERROR(__xludf.DUMMYFUNCTION("""COMPUTED_VALUE"""),"Central")</f>
        <v>Central</v>
      </c>
      <c r="F1872" s="26">
        <f>IFERROR(__xludf.DUMMYFUNCTION("""COMPUTED_VALUE"""),246.1328)</f>
        <v>246.1328</v>
      </c>
      <c r="G1872" s="26">
        <f>IFERROR(__xludf.DUMMYFUNCTION("""COMPUTED_VALUE"""),2.0)</f>
        <v>2</v>
      </c>
      <c r="H1872" s="26">
        <f>IFERROR(__xludf.DUMMYFUNCTION("""COMPUTED_VALUE"""),-76.0116)</f>
        <v>-76.0116</v>
      </c>
    </row>
    <row r="1873">
      <c r="A1873" s="26" t="str">
        <f>IFERROR(__xludf.DUMMYFUNCTION("""COMPUTED_VALUE"""),"US-2015-117184")</f>
        <v>US-2015-117184</v>
      </c>
      <c r="B1873" s="27">
        <f>IFERROR(__xludf.DUMMYFUNCTION("""COMPUTED_VALUE"""),42141.0)</f>
        <v>42141</v>
      </c>
      <c r="C1873" s="26" t="str">
        <f>IFERROR(__xludf.DUMMYFUNCTION("""COMPUTED_VALUE"""),"Odella Nelson")</f>
        <v>Odella Nelson</v>
      </c>
      <c r="D1873" s="26" t="str">
        <f>IFERROR(__xludf.DUMMYFUNCTION("""COMPUTED_VALUE"""),"Corporate")</f>
        <v>Corporate</v>
      </c>
      <c r="E1873" s="26" t="str">
        <f>IFERROR(__xludf.DUMMYFUNCTION("""COMPUTED_VALUE"""),"Central")</f>
        <v>Central</v>
      </c>
      <c r="F1873" s="26">
        <f>IFERROR(__xludf.DUMMYFUNCTION("""COMPUTED_VALUE"""),33.28)</f>
        <v>33.28</v>
      </c>
      <c r="G1873" s="26">
        <f>IFERROR(__xludf.DUMMYFUNCTION("""COMPUTED_VALUE"""),5.0)</f>
        <v>5</v>
      </c>
      <c r="H1873" s="26">
        <f>IFERROR(__xludf.DUMMYFUNCTION("""COMPUTED_VALUE"""),-49.92)</f>
        <v>-49.92</v>
      </c>
    </row>
    <row r="1874">
      <c r="A1874" s="26" t="str">
        <f>IFERROR(__xludf.DUMMYFUNCTION("""COMPUTED_VALUE"""),"US-2015-122784")</f>
        <v>US-2015-122784</v>
      </c>
      <c r="B1874" s="27">
        <f>IFERROR(__xludf.DUMMYFUNCTION("""COMPUTED_VALUE"""),42205.0)</f>
        <v>42205</v>
      </c>
      <c r="C1874" s="26" t="str">
        <f>IFERROR(__xludf.DUMMYFUNCTION("""COMPUTED_VALUE"""),"Russell Applegate")</f>
        <v>Russell Applegate</v>
      </c>
      <c r="D1874" s="26" t="str">
        <f>IFERROR(__xludf.DUMMYFUNCTION("""COMPUTED_VALUE"""),"Consumer")</f>
        <v>Consumer</v>
      </c>
      <c r="E1874" s="26" t="str">
        <f>IFERROR(__xludf.DUMMYFUNCTION("""COMPUTED_VALUE"""),"Central")</f>
        <v>Central</v>
      </c>
      <c r="F1874" s="26">
        <f>IFERROR(__xludf.DUMMYFUNCTION("""COMPUTED_VALUE"""),2.88)</f>
        <v>2.88</v>
      </c>
      <c r="G1874" s="26">
        <f>IFERROR(__xludf.DUMMYFUNCTION("""COMPUTED_VALUE"""),5.0)</f>
        <v>5</v>
      </c>
      <c r="H1874" s="26">
        <f>IFERROR(__xludf.DUMMYFUNCTION("""COMPUTED_VALUE"""),-4.464)</f>
        <v>-4.464</v>
      </c>
    </row>
    <row r="1875">
      <c r="A1875" s="26" t="str">
        <f>IFERROR(__xludf.DUMMYFUNCTION("""COMPUTED_VALUE"""),"CA-2015-163090")</f>
        <v>CA-2015-163090</v>
      </c>
      <c r="B1875" s="27">
        <f>IFERROR(__xludf.DUMMYFUNCTION("""COMPUTED_VALUE"""),42325.0)</f>
        <v>42325</v>
      </c>
      <c r="C1875" s="26" t="str">
        <f>IFERROR(__xludf.DUMMYFUNCTION("""COMPUTED_VALUE"""),"Greg Hansen")</f>
        <v>Greg Hansen</v>
      </c>
      <c r="D1875" s="26" t="str">
        <f>IFERROR(__xludf.DUMMYFUNCTION("""COMPUTED_VALUE"""),"Consumer")</f>
        <v>Consumer</v>
      </c>
      <c r="E1875" s="26" t="str">
        <f>IFERROR(__xludf.DUMMYFUNCTION("""COMPUTED_VALUE"""),"Central")</f>
        <v>Central</v>
      </c>
      <c r="F1875" s="26">
        <f>IFERROR(__xludf.DUMMYFUNCTION("""COMPUTED_VALUE"""),40.92)</f>
        <v>40.92</v>
      </c>
      <c r="G1875" s="26">
        <f>IFERROR(__xludf.DUMMYFUNCTION("""COMPUTED_VALUE"""),5.0)</f>
        <v>5</v>
      </c>
      <c r="H1875" s="26">
        <f>IFERROR(__xludf.DUMMYFUNCTION("""COMPUTED_VALUE"""),3.069)</f>
        <v>3.069</v>
      </c>
    </row>
    <row r="1876">
      <c r="A1876" s="26" t="str">
        <f>IFERROR(__xludf.DUMMYFUNCTION("""COMPUTED_VALUE"""),"CA-2015-162621")</f>
        <v>CA-2015-162621</v>
      </c>
      <c r="B1876" s="27">
        <f>IFERROR(__xludf.DUMMYFUNCTION("""COMPUTED_VALUE"""),42252.0)</f>
        <v>42252</v>
      </c>
      <c r="C1876" s="26" t="str">
        <f>IFERROR(__xludf.DUMMYFUNCTION("""COMPUTED_VALUE"""),"Cathy Armstrong")</f>
        <v>Cathy Armstrong</v>
      </c>
      <c r="D1876" s="26" t="str">
        <f>IFERROR(__xludf.DUMMYFUNCTION("""COMPUTED_VALUE"""),"Home Office")</f>
        <v>Home Office</v>
      </c>
      <c r="E1876" s="26" t="str">
        <f>IFERROR(__xludf.DUMMYFUNCTION("""COMPUTED_VALUE"""),"Central")</f>
        <v>Central</v>
      </c>
      <c r="F1876" s="26">
        <f>IFERROR(__xludf.DUMMYFUNCTION("""COMPUTED_VALUE"""),16.27)</f>
        <v>16.27</v>
      </c>
      <c r="G1876" s="26">
        <f>IFERROR(__xludf.DUMMYFUNCTION("""COMPUTED_VALUE"""),5.0)</f>
        <v>5</v>
      </c>
      <c r="H1876" s="26">
        <f>IFERROR(__xludf.DUMMYFUNCTION("""COMPUTED_VALUE"""),-25.2185)</f>
        <v>-25.2185</v>
      </c>
    </row>
    <row r="1877">
      <c r="A1877" s="26" t="str">
        <f>IFERROR(__xludf.DUMMYFUNCTION("""COMPUTED_VALUE"""),"CA-2015-126557")</f>
        <v>CA-2015-126557</v>
      </c>
      <c r="B1877" s="27">
        <f>IFERROR(__xludf.DUMMYFUNCTION("""COMPUTED_VALUE"""),42197.0)</f>
        <v>42197</v>
      </c>
      <c r="C1877" s="26" t="str">
        <f>IFERROR(__xludf.DUMMYFUNCTION("""COMPUTED_VALUE"""),"Rob Lucas")</f>
        <v>Rob Lucas</v>
      </c>
      <c r="D1877" s="26" t="str">
        <f>IFERROR(__xludf.DUMMYFUNCTION("""COMPUTED_VALUE"""),"Consumer")</f>
        <v>Consumer</v>
      </c>
      <c r="E1877" s="26" t="str">
        <f>IFERROR(__xludf.DUMMYFUNCTION("""COMPUTED_VALUE"""),"Central")</f>
        <v>Central</v>
      </c>
      <c r="F1877" s="26">
        <f>IFERROR(__xludf.DUMMYFUNCTION("""COMPUTED_VALUE"""),383.607)</f>
        <v>383.607</v>
      </c>
      <c r="G1877" s="26">
        <f>IFERROR(__xludf.DUMMYFUNCTION("""COMPUTED_VALUE"""),9.0)</f>
        <v>9</v>
      </c>
      <c r="H1877" s="26">
        <f>IFERROR(__xludf.DUMMYFUNCTION("""COMPUTED_VALUE"""),-5.4801)</f>
        <v>-5.4801</v>
      </c>
    </row>
    <row r="1878">
      <c r="A1878" s="26" t="str">
        <f>IFERROR(__xludf.DUMMYFUNCTION("""COMPUTED_VALUE"""),"CA-2015-111990")</f>
        <v>CA-2015-111990</v>
      </c>
      <c r="B1878" s="27">
        <f>IFERROR(__xludf.DUMMYFUNCTION("""COMPUTED_VALUE"""),42316.0)</f>
        <v>42316</v>
      </c>
      <c r="C1878" s="26" t="str">
        <f>IFERROR(__xludf.DUMMYFUNCTION("""COMPUTED_VALUE"""),"Duane Benoit")</f>
        <v>Duane Benoit</v>
      </c>
      <c r="D1878" s="26" t="str">
        <f>IFERROR(__xludf.DUMMYFUNCTION("""COMPUTED_VALUE"""),"Consumer")</f>
        <v>Consumer</v>
      </c>
      <c r="E1878" s="26" t="str">
        <f>IFERROR(__xludf.DUMMYFUNCTION("""COMPUTED_VALUE"""),"Central")</f>
        <v>Central</v>
      </c>
      <c r="F1878" s="26">
        <f>IFERROR(__xludf.DUMMYFUNCTION("""COMPUTED_VALUE"""),10.476)</f>
        <v>10.476</v>
      </c>
      <c r="G1878" s="26">
        <f>IFERROR(__xludf.DUMMYFUNCTION("""COMPUTED_VALUE"""),6.0)</f>
        <v>6</v>
      </c>
      <c r="H1878" s="26">
        <f>IFERROR(__xludf.DUMMYFUNCTION("""COMPUTED_VALUE"""),-17.2854)</f>
        <v>-17.2854</v>
      </c>
    </row>
    <row r="1879">
      <c r="A1879" s="26" t="str">
        <f>IFERROR(__xludf.DUMMYFUNCTION("""COMPUTED_VALUE"""),"US-2015-152128")</f>
        <v>US-2015-152128</v>
      </c>
      <c r="B1879" s="27">
        <f>IFERROR(__xludf.DUMMYFUNCTION("""COMPUTED_VALUE"""),42149.0)</f>
        <v>42149</v>
      </c>
      <c r="C1879" s="26" t="str">
        <f>IFERROR(__xludf.DUMMYFUNCTION("""COMPUTED_VALUE"""),"Nathan Mautz")</f>
        <v>Nathan Mautz</v>
      </c>
      <c r="D1879" s="26" t="str">
        <f>IFERROR(__xludf.DUMMYFUNCTION("""COMPUTED_VALUE"""),"Home Office")</f>
        <v>Home Office</v>
      </c>
      <c r="E1879" s="26" t="str">
        <f>IFERROR(__xludf.DUMMYFUNCTION("""COMPUTED_VALUE"""),"Central")</f>
        <v>Central</v>
      </c>
      <c r="F1879" s="26">
        <f>IFERROR(__xludf.DUMMYFUNCTION("""COMPUTED_VALUE"""),21.24)</f>
        <v>21.24</v>
      </c>
      <c r="G1879" s="26">
        <f>IFERROR(__xludf.DUMMYFUNCTION("""COMPUTED_VALUE"""),3.0)</f>
        <v>3</v>
      </c>
      <c r="H1879" s="26">
        <f>IFERROR(__xludf.DUMMYFUNCTION("""COMPUTED_VALUE"""),8.0712)</f>
        <v>8.0712</v>
      </c>
    </row>
    <row r="1880">
      <c r="A1880" s="26" t="str">
        <f>IFERROR(__xludf.DUMMYFUNCTION("""COMPUTED_VALUE"""),"CA-2015-159863")</f>
        <v>CA-2015-159863</v>
      </c>
      <c r="B1880" s="27">
        <f>IFERROR(__xludf.DUMMYFUNCTION("""COMPUTED_VALUE"""),42251.0)</f>
        <v>42251</v>
      </c>
      <c r="C1880" s="26" t="str">
        <f>IFERROR(__xludf.DUMMYFUNCTION("""COMPUTED_VALUE"""),"David Smith")</f>
        <v>David Smith</v>
      </c>
      <c r="D1880" s="26" t="str">
        <f>IFERROR(__xludf.DUMMYFUNCTION("""COMPUTED_VALUE"""),"Corporate")</f>
        <v>Corporate</v>
      </c>
      <c r="E1880" s="26" t="str">
        <f>IFERROR(__xludf.DUMMYFUNCTION("""COMPUTED_VALUE"""),"Central")</f>
        <v>Central</v>
      </c>
      <c r="F1880" s="26">
        <f>IFERROR(__xludf.DUMMYFUNCTION("""COMPUTED_VALUE"""),134.376)</f>
        <v>134.376</v>
      </c>
      <c r="G1880" s="26">
        <f>IFERROR(__xludf.DUMMYFUNCTION("""COMPUTED_VALUE"""),3.0)</f>
        <v>3</v>
      </c>
      <c r="H1880" s="26">
        <f>IFERROR(__xludf.DUMMYFUNCTION("""COMPUTED_VALUE"""),6.7188)</f>
        <v>6.7188</v>
      </c>
    </row>
    <row r="1881">
      <c r="A1881" s="26" t="str">
        <f>IFERROR(__xludf.DUMMYFUNCTION("""COMPUTED_VALUE"""),"US-2015-126235")</f>
        <v>US-2015-126235</v>
      </c>
      <c r="B1881" s="27">
        <f>IFERROR(__xludf.DUMMYFUNCTION("""COMPUTED_VALUE"""),42292.0)</f>
        <v>42292</v>
      </c>
      <c r="C1881" s="26" t="str">
        <f>IFERROR(__xludf.DUMMYFUNCTION("""COMPUTED_VALUE"""),"Guy Armstrong")</f>
        <v>Guy Armstrong</v>
      </c>
      <c r="D1881" s="26" t="str">
        <f>IFERROR(__xludf.DUMMYFUNCTION("""COMPUTED_VALUE"""),"Consumer")</f>
        <v>Consumer</v>
      </c>
      <c r="E1881" s="26" t="str">
        <f>IFERROR(__xludf.DUMMYFUNCTION("""COMPUTED_VALUE"""),"Central")</f>
        <v>Central</v>
      </c>
      <c r="F1881" s="26">
        <f>IFERROR(__xludf.DUMMYFUNCTION("""COMPUTED_VALUE"""),17.14)</f>
        <v>17.14</v>
      </c>
      <c r="G1881" s="26">
        <f>IFERROR(__xludf.DUMMYFUNCTION("""COMPUTED_VALUE"""),2.0)</f>
        <v>2</v>
      </c>
      <c r="H1881" s="26">
        <f>IFERROR(__xludf.DUMMYFUNCTION("""COMPUTED_VALUE"""),6.1704)</f>
        <v>6.1704</v>
      </c>
    </row>
    <row r="1882">
      <c r="A1882" s="26" t="str">
        <f>IFERROR(__xludf.DUMMYFUNCTION("""COMPUTED_VALUE"""),"US-2015-138121")</f>
        <v>US-2015-138121</v>
      </c>
      <c r="B1882" s="27">
        <f>IFERROR(__xludf.DUMMYFUNCTION("""COMPUTED_VALUE"""),42355.0)</f>
        <v>42355</v>
      </c>
      <c r="C1882" s="26" t="str">
        <f>IFERROR(__xludf.DUMMYFUNCTION("""COMPUTED_VALUE"""),"John Lee")</f>
        <v>John Lee</v>
      </c>
      <c r="D1882" s="26" t="str">
        <f>IFERROR(__xludf.DUMMYFUNCTION("""COMPUTED_VALUE"""),"Consumer")</f>
        <v>Consumer</v>
      </c>
      <c r="E1882" s="26" t="str">
        <f>IFERROR(__xludf.DUMMYFUNCTION("""COMPUTED_VALUE"""),"Central")</f>
        <v>Central</v>
      </c>
      <c r="F1882" s="26">
        <f>IFERROR(__xludf.DUMMYFUNCTION("""COMPUTED_VALUE"""),29.52)</f>
        <v>29.52</v>
      </c>
      <c r="G1882" s="26">
        <f>IFERROR(__xludf.DUMMYFUNCTION("""COMPUTED_VALUE"""),4.0)</f>
        <v>4</v>
      </c>
      <c r="H1882" s="26">
        <f>IFERROR(__xludf.DUMMYFUNCTION("""COMPUTED_VALUE"""),14.4648)</f>
        <v>14.4648</v>
      </c>
    </row>
    <row r="1883">
      <c r="A1883" s="26" t="str">
        <f>IFERROR(__xludf.DUMMYFUNCTION("""COMPUTED_VALUE"""),"US-2015-167220")</f>
        <v>US-2015-167220</v>
      </c>
      <c r="B1883" s="27">
        <f>IFERROR(__xludf.DUMMYFUNCTION("""COMPUTED_VALUE"""),42350.0)</f>
        <v>42350</v>
      </c>
      <c r="C1883" s="26" t="str">
        <f>IFERROR(__xludf.DUMMYFUNCTION("""COMPUTED_VALUE"""),"Joni Blumstein")</f>
        <v>Joni Blumstein</v>
      </c>
      <c r="D1883" s="26" t="str">
        <f>IFERROR(__xludf.DUMMYFUNCTION("""COMPUTED_VALUE"""),"Consumer")</f>
        <v>Consumer</v>
      </c>
      <c r="E1883" s="26" t="str">
        <f>IFERROR(__xludf.DUMMYFUNCTION("""COMPUTED_VALUE"""),"Central")</f>
        <v>Central</v>
      </c>
      <c r="F1883" s="26">
        <f>IFERROR(__xludf.DUMMYFUNCTION("""COMPUTED_VALUE"""),22.368)</f>
        <v>22.368</v>
      </c>
      <c r="G1883" s="26">
        <f>IFERROR(__xludf.DUMMYFUNCTION("""COMPUTED_VALUE"""),4.0)</f>
        <v>4</v>
      </c>
      <c r="H1883" s="26">
        <f>IFERROR(__xludf.DUMMYFUNCTION("""COMPUTED_VALUE"""),6.4308)</f>
        <v>6.4308</v>
      </c>
    </row>
    <row r="1884">
      <c r="A1884" s="26" t="str">
        <f>IFERROR(__xludf.DUMMYFUNCTION("""COMPUTED_VALUE"""),"CA-2015-123155")</f>
        <v>CA-2015-123155</v>
      </c>
      <c r="B1884" s="27">
        <f>IFERROR(__xludf.DUMMYFUNCTION("""COMPUTED_VALUE"""),42072.0)</f>
        <v>42072</v>
      </c>
      <c r="C1884" s="26" t="str">
        <f>IFERROR(__xludf.DUMMYFUNCTION("""COMPUTED_VALUE"""),"Noel Staavos")</f>
        <v>Noel Staavos</v>
      </c>
      <c r="D1884" s="26" t="str">
        <f>IFERROR(__xludf.DUMMYFUNCTION("""COMPUTED_VALUE"""),"Corporate")</f>
        <v>Corporate</v>
      </c>
      <c r="E1884" s="26" t="str">
        <f>IFERROR(__xludf.DUMMYFUNCTION("""COMPUTED_VALUE"""),"Central")</f>
        <v>Central</v>
      </c>
      <c r="F1884" s="26">
        <f>IFERROR(__xludf.DUMMYFUNCTION("""COMPUTED_VALUE"""),113.52)</f>
        <v>113.52</v>
      </c>
      <c r="G1884" s="26">
        <f>IFERROR(__xludf.DUMMYFUNCTION("""COMPUTED_VALUE"""),5.0)</f>
        <v>5</v>
      </c>
      <c r="H1884" s="26">
        <f>IFERROR(__xludf.DUMMYFUNCTION("""COMPUTED_VALUE"""),29.799)</f>
        <v>29.799</v>
      </c>
    </row>
    <row r="1885">
      <c r="A1885" s="26" t="str">
        <f>IFERROR(__xludf.DUMMYFUNCTION("""COMPUTED_VALUE"""),"CA-2015-151589")</f>
        <v>CA-2015-151589</v>
      </c>
      <c r="B1885" s="27">
        <f>IFERROR(__xludf.DUMMYFUNCTION("""COMPUTED_VALUE"""),42365.0)</f>
        <v>42365</v>
      </c>
      <c r="C1885" s="26" t="str">
        <f>IFERROR(__xludf.DUMMYFUNCTION("""COMPUTED_VALUE"""),"Richard Eichhorn")</f>
        <v>Richard Eichhorn</v>
      </c>
      <c r="D1885" s="26" t="str">
        <f>IFERROR(__xludf.DUMMYFUNCTION("""COMPUTED_VALUE"""),"Consumer")</f>
        <v>Consumer</v>
      </c>
      <c r="E1885" s="26" t="str">
        <f>IFERROR(__xludf.DUMMYFUNCTION("""COMPUTED_VALUE"""),"Central")</f>
        <v>Central</v>
      </c>
      <c r="F1885" s="26">
        <f>IFERROR(__xludf.DUMMYFUNCTION("""COMPUTED_VALUE"""),195.64)</f>
        <v>195.64</v>
      </c>
      <c r="G1885" s="26">
        <f>IFERROR(__xludf.DUMMYFUNCTION("""COMPUTED_VALUE"""),4.0)</f>
        <v>4</v>
      </c>
      <c r="H1885" s="26">
        <f>IFERROR(__xludf.DUMMYFUNCTION("""COMPUTED_VALUE"""),91.9508)</f>
        <v>91.9508</v>
      </c>
    </row>
    <row r="1886">
      <c r="A1886" s="26" t="str">
        <f>IFERROR(__xludf.DUMMYFUNCTION("""COMPUTED_VALUE"""),"CA-2015-140025")</f>
        <v>CA-2015-140025</v>
      </c>
      <c r="B1886" s="27">
        <f>IFERROR(__xludf.DUMMYFUNCTION("""COMPUTED_VALUE"""),42101.0)</f>
        <v>42101</v>
      </c>
      <c r="C1886" s="26" t="str">
        <f>IFERROR(__xludf.DUMMYFUNCTION("""COMPUTED_VALUE"""),"Peter Fuller")</f>
        <v>Peter Fuller</v>
      </c>
      <c r="D1886" s="26" t="str">
        <f>IFERROR(__xludf.DUMMYFUNCTION("""COMPUTED_VALUE"""),"Consumer")</f>
        <v>Consumer</v>
      </c>
      <c r="E1886" s="26" t="str">
        <f>IFERROR(__xludf.DUMMYFUNCTION("""COMPUTED_VALUE"""),"Central")</f>
        <v>Central</v>
      </c>
      <c r="F1886" s="26">
        <f>IFERROR(__xludf.DUMMYFUNCTION("""COMPUTED_VALUE"""),463.248)</f>
        <v>463.248</v>
      </c>
      <c r="G1886" s="26">
        <f>IFERROR(__xludf.DUMMYFUNCTION("""COMPUTED_VALUE"""),8.0)</f>
        <v>8</v>
      </c>
      <c r="H1886" s="26">
        <f>IFERROR(__xludf.DUMMYFUNCTION("""COMPUTED_VALUE"""),-1181.2824)</f>
        <v>-1181.2824</v>
      </c>
    </row>
    <row r="1887">
      <c r="A1887" s="26" t="str">
        <f>IFERROR(__xludf.DUMMYFUNCTION("""COMPUTED_VALUE"""),"CA-2015-144190")</f>
        <v>CA-2015-144190</v>
      </c>
      <c r="B1887" s="27">
        <f>IFERROR(__xludf.DUMMYFUNCTION("""COMPUTED_VALUE"""),42164.0)</f>
        <v>42164</v>
      </c>
      <c r="C1887" s="26" t="str">
        <f>IFERROR(__xludf.DUMMYFUNCTION("""COMPUTED_VALUE"""),"Nathan Cano")</f>
        <v>Nathan Cano</v>
      </c>
      <c r="D1887" s="26" t="str">
        <f>IFERROR(__xludf.DUMMYFUNCTION("""COMPUTED_VALUE"""),"Consumer")</f>
        <v>Consumer</v>
      </c>
      <c r="E1887" s="26" t="str">
        <f>IFERROR(__xludf.DUMMYFUNCTION("""COMPUTED_VALUE"""),"Central")</f>
        <v>Central</v>
      </c>
      <c r="F1887" s="26">
        <f>IFERROR(__xludf.DUMMYFUNCTION("""COMPUTED_VALUE"""),12.96)</f>
        <v>12.96</v>
      </c>
      <c r="G1887" s="26">
        <f>IFERROR(__xludf.DUMMYFUNCTION("""COMPUTED_VALUE"""),2.0)</f>
        <v>2</v>
      </c>
      <c r="H1887" s="26">
        <f>IFERROR(__xludf.DUMMYFUNCTION("""COMPUTED_VALUE"""),6.2208)</f>
        <v>6.2208</v>
      </c>
    </row>
    <row r="1888">
      <c r="A1888" s="26" t="str">
        <f>IFERROR(__xludf.DUMMYFUNCTION("""COMPUTED_VALUE"""),"CA-2015-127607")</f>
        <v>CA-2015-127607</v>
      </c>
      <c r="B1888" s="27">
        <f>IFERROR(__xludf.DUMMYFUNCTION("""COMPUTED_VALUE"""),42083.0)</f>
        <v>42083</v>
      </c>
      <c r="C1888" s="26" t="str">
        <f>IFERROR(__xludf.DUMMYFUNCTION("""COMPUTED_VALUE"""),"Joe Kamberova")</f>
        <v>Joe Kamberova</v>
      </c>
      <c r="D1888" s="26" t="str">
        <f>IFERROR(__xludf.DUMMYFUNCTION("""COMPUTED_VALUE"""),"Consumer")</f>
        <v>Consumer</v>
      </c>
      <c r="E1888" s="26" t="str">
        <f>IFERROR(__xludf.DUMMYFUNCTION("""COMPUTED_VALUE"""),"Central")</f>
        <v>Central</v>
      </c>
      <c r="F1888" s="26">
        <f>IFERROR(__xludf.DUMMYFUNCTION("""COMPUTED_VALUE"""),2.512)</f>
        <v>2.512</v>
      </c>
      <c r="G1888" s="26">
        <f>IFERROR(__xludf.DUMMYFUNCTION("""COMPUTED_VALUE"""),2.0)</f>
        <v>2</v>
      </c>
      <c r="H1888" s="26">
        <f>IFERROR(__xludf.DUMMYFUNCTION("""COMPUTED_VALUE"""),-4.396)</f>
        <v>-4.396</v>
      </c>
    </row>
    <row r="1889">
      <c r="A1889" s="26" t="str">
        <f>IFERROR(__xludf.DUMMYFUNCTION("""COMPUTED_VALUE"""),"CA-2015-158659")</f>
        <v>CA-2015-158659</v>
      </c>
      <c r="B1889" s="27">
        <f>IFERROR(__xludf.DUMMYFUNCTION("""COMPUTED_VALUE"""),42318.0)</f>
        <v>42318</v>
      </c>
      <c r="C1889" s="26" t="str">
        <f>IFERROR(__xludf.DUMMYFUNCTION("""COMPUTED_VALUE"""),"Steve Chapman")</f>
        <v>Steve Chapman</v>
      </c>
      <c r="D1889" s="26" t="str">
        <f>IFERROR(__xludf.DUMMYFUNCTION("""COMPUTED_VALUE"""),"Corporate")</f>
        <v>Corporate</v>
      </c>
      <c r="E1889" s="26" t="str">
        <f>IFERROR(__xludf.DUMMYFUNCTION("""COMPUTED_VALUE"""),"Central")</f>
        <v>Central</v>
      </c>
      <c r="F1889" s="26">
        <f>IFERROR(__xludf.DUMMYFUNCTION("""COMPUTED_VALUE"""),714.3)</f>
        <v>714.3</v>
      </c>
      <c r="G1889" s="26">
        <f>IFERROR(__xludf.DUMMYFUNCTION("""COMPUTED_VALUE"""),5.0)</f>
        <v>5</v>
      </c>
      <c r="H1889" s="26">
        <f>IFERROR(__xludf.DUMMYFUNCTION("""COMPUTED_VALUE"""),207.147)</f>
        <v>207.147</v>
      </c>
    </row>
    <row r="1890">
      <c r="A1890" s="26" t="str">
        <f>IFERROR(__xludf.DUMMYFUNCTION("""COMPUTED_VALUE"""),"CA-2015-103954")</f>
        <v>CA-2015-103954</v>
      </c>
      <c r="B1890" s="27">
        <f>IFERROR(__xludf.DUMMYFUNCTION("""COMPUTED_VALUE"""),42225.0)</f>
        <v>42225</v>
      </c>
      <c r="C1890" s="26" t="str">
        <f>IFERROR(__xludf.DUMMYFUNCTION("""COMPUTED_VALUE"""),"Hallie Redmond")</f>
        <v>Hallie Redmond</v>
      </c>
      <c r="D1890" s="26" t="str">
        <f>IFERROR(__xludf.DUMMYFUNCTION("""COMPUTED_VALUE"""),"Home Office")</f>
        <v>Home Office</v>
      </c>
      <c r="E1890" s="26" t="str">
        <f>IFERROR(__xludf.DUMMYFUNCTION("""COMPUTED_VALUE"""),"Central")</f>
        <v>Central</v>
      </c>
      <c r="F1890" s="26">
        <f>IFERROR(__xludf.DUMMYFUNCTION("""COMPUTED_VALUE"""),687.4)</f>
        <v>687.4</v>
      </c>
      <c r="G1890" s="26">
        <f>IFERROR(__xludf.DUMMYFUNCTION("""COMPUTED_VALUE"""),5.0)</f>
        <v>5</v>
      </c>
      <c r="H1890" s="26">
        <f>IFERROR(__xludf.DUMMYFUNCTION("""COMPUTED_VALUE"""),48.118)</f>
        <v>48.118</v>
      </c>
    </row>
    <row r="1891">
      <c r="A1891" s="26" t="str">
        <f>IFERROR(__xludf.DUMMYFUNCTION("""COMPUTED_VALUE"""),"CA-2015-141243")</f>
        <v>CA-2015-141243</v>
      </c>
      <c r="B1891" s="27">
        <f>IFERROR(__xludf.DUMMYFUNCTION("""COMPUTED_VALUE"""),42007.0)</f>
        <v>42007</v>
      </c>
      <c r="C1891" s="26" t="str">
        <f>IFERROR(__xludf.DUMMYFUNCTION("""COMPUTED_VALUE"""),"Amy Hunt")</f>
        <v>Amy Hunt</v>
      </c>
      <c r="D1891" s="26" t="str">
        <f>IFERROR(__xludf.DUMMYFUNCTION("""COMPUTED_VALUE"""),"Consumer")</f>
        <v>Consumer</v>
      </c>
      <c r="E1891" s="26" t="str">
        <f>IFERROR(__xludf.DUMMYFUNCTION("""COMPUTED_VALUE"""),"Central")</f>
        <v>Central</v>
      </c>
      <c r="F1891" s="26">
        <f>IFERROR(__xludf.DUMMYFUNCTION("""COMPUTED_VALUE"""),398.4)</f>
        <v>398.4</v>
      </c>
      <c r="G1891" s="26">
        <f>IFERROR(__xludf.DUMMYFUNCTION("""COMPUTED_VALUE"""),5.0)</f>
        <v>5</v>
      </c>
      <c r="H1891" s="26">
        <f>IFERROR(__xludf.DUMMYFUNCTION("""COMPUTED_VALUE"""),84.66)</f>
        <v>84.66</v>
      </c>
    </row>
    <row r="1892">
      <c r="A1892" s="26" t="str">
        <f>IFERROR(__xludf.DUMMYFUNCTION("""COMPUTED_VALUE"""),"CA-2015-136798")</f>
        <v>CA-2015-136798</v>
      </c>
      <c r="B1892" s="27">
        <f>IFERROR(__xludf.DUMMYFUNCTION("""COMPUTED_VALUE"""),42132.0)</f>
        <v>42132</v>
      </c>
      <c r="C1892" s="26" t="str">
        <f>IFERROR(__xludf.DUMMYFUNCTION("""COMPUTED_VALUE"""),"Daniel Lacy")</f>
        <v>Daniel Lacy</v>
      </c>
      <c r="D1892" s="26" t="str">
        <f>IFERROR(__xludf.DUMMYFUNCTION("""COMPUTED_VALUE"""),"Consumer")</f>
        <v>Consumer</v>
      </c>
      <c r="E1892" s="26" t="str">
        <f>IFERROR(__xludf.DUMMYFUNCTION("""COMPUTED_VALUE"""),"Central")</f>
        <v>Central</v>
      </c>
      <c r="F1892" s="26">
        <f>IFERROR(__xludf.DUMMYFUNCTION("""COMPUTED_VALUE"""),43.98)</f>
        <v>43.98</v>
      </c>
      <c r="G1892" s="26">
        <f>IFERROR(__xludf.DUMMYFUNCTION("""COMPUTED_VALUE"""),2.0)</f>
        <v>2</v>
      </c>
      <c r="H1892" s="26">
        <f>IFERROR(__xludf.DUMMYFUNCTION("""COMPUTED_VALUE"""),21.99)</f>
        <v>21.99</v>
      </c>
    </row>
    <row r="1893">
      <c r="A1893" s="26" t="str">
        <f>IFERROR(__xludf.DUMMYFUNCTION("""COMPUTED_VALUE"""),"CA-2015-144302")</f>
        <v>CA-2015-144302</v>
      </c>
      <c r="B1893" s="27">
        <f>IFERROR(__xludf.DUMMYFUNCTION("""COMPUTED_VALUE"""),42174.0)</f>
        <v>42174</v>
      </c>
      <c r="C1893" s="26" t="str">
        <f>IFERROR(__xludf.DUMMYFUNCTION("""COMPUTED_VALUE"""),"Maria Etezadi")</f>
        <v>Maria Etezadi</v>
      </c>
      <c r="D1893" s="26" t="str">
        <f>IFERROR(__xludf.DUMMYFUNCTION("""COMPUTED_VALUE"""),"Home Office")</f>
        <v>Home Office</v>
      </c>
      <c r="E1893" s="26" t="str">
        <f>IFERROR(__xludf.DUMMYFUNCTION("""COMPUTED_VALUE"""),"Central")</f>
        <v>Central</v>
      </c>
      <c r="F1893" s="26">
        <f>IFERROR(__xludf.DUMMYFUNCTION("""COMPUTED_VALUE"""),5.792)</f>
        <v>5.792</v>
      </c>
      <c r="G1893" s="26">
        <f>IFERROR(__xludf.DUMMYFUNCTION("""COMPUTED_VALUE"""),2.0)</f>
        <v>2</v>
      </c>
      <c r="H1893" s="26">
        <f>IFERROR(__xludf.DUMMYFUNCTION("""COMPUTED_VALUE"""),-9.5568)</f>
        <v>-9.5568</v>
      </c>
    </row>
    <row r="1894">
      <c r="A1894" s="26" t="str">
        <f>IFERROR(__xludf.DUMMYFUNCTION("""COMPUTED_VALUE"""),"CA-2015-153073")</f>
        <v>CA-2015-153073</v>
      </c>
      <c r="B1894" s="27">
        <f>IFERROR(__xludf.DUMMYFUNCTION("""COMPUTED_VALUE"""),42321.0)</f>
        <v>42321</v>
      </c>
      <c r="C1894" s="26" t="str">
        <f>IFERROR(__xludf.DUMMYFUNCTION("""COMPUTED_VALUE"""),"Helen Abelman")</f>
        <v>Helen Abelman</v>
      </c>
      <c r="D1894" s="26" t="str">
        <f>IFERROR(__xludf.DUMMYFUNCTION("""COMPUTED_VALUE"""),"Consumer")</f>
        <v>Consumer</v>
      </c>
      <c r="E1894" s="26" t="str">
        <f>IFERROR(__xludf.DUMMYFUNCTION("""COMPUTED_VALUE"""),"Central")</f>
        <v>Central</v>
      </c>
      <c r="F1894" s="26">
        <f>IFERROR(__xludf.DUMMYFUNCTION("""COMPUTED_VALUE"""),17.496)</f>
        <v>17.496</v>
      </c>
      <c r="G1894" s="26">
        <f>IFERROR(__xludf.DUMMYFUNCTION("""COMPUTED_VALUE"""),9.0)</f>
        <v>9</v>
      </c>
      <c r="H1894" s="26">
        <f>IFERROR(__xludf.DUMMYFUNCTION("""COMPUTED_VALUE"""),-7.4358)</f>
        <v>-7.4358</v>
      </c>
    </row>
    <row r="1895">
      <c r="A1895" s="26" t="str">
        <f>IFERROR(__xludf.DUMMYFUNCTION("""COMPUTED_VALUE"""),"US-2015-124219")</f>
        <v>US-2015-124219</v>
      </c>
      <c r="B1895" s="27">
        <f>IFERROR(__xludf.DUMMYFUNCTION("""COMPUTED_VALUE"""),42223.0)</f>
        <v>42223</v>
      </c>
      <c r="C1895" s="26" t="str">
        <f>IFERROR(__xludf.DUMMYFUNCTION("""COMPUTED_VALUE"""),"Kelly Williams")</f>
        <v>Kelly Williams</v>
      </c>
      <c r="D1895" s="26" t="str">
        <f>IFERROR(__xludf.DUMMYFUNCTION("""COMPUTED_VALUE"""),"Consumer")</f>
        <v>Consumer</v>
      </c>
      <c r="E1895" s="26" t="str">
        <f>IFERROR(__xludf.DUMMYFUNCTION("""COMPUTED_VALUE"""),"Central")</f>
        <v>Central</v>
      </c>
      <c r="F1895" s="26">
        <f>IFERROR(__xludf.DUMMYFUNCTION("""COMPUTED_VALUE"""),28.4)</f>
        <v>28.4</v>
      </c>
      <c r="G1895" s="26">
        <f>IFERROR(__xludf.DUMMYFUNCTION("""COMPUTED_VALUE"""),4.0)</f>
        <v>4</v>
      </c>
      <c r="H1895" s="26">
        <f>IFERROR(__xludf.DUMMYFUNCTION("""COMPUTED_VALUE"""),13.064)</f>
        <v>13.064</v>
      </c>
    </row>
    <row r="1896">
      <c r="A1896" s="26" t="str">
        <f>IFERROR(__xludf.DUMMYFUNCTION("""COMPUTED_VALUE"""),"CA-2015-115567")</f>
        <v>CA-2015-115567</v>
      </c>
      <c r="B1896" s="27">
        <f>IFERROR(__xludf.DUMMYFUNCTION("""COMPUTED_VALUE"""),42260.0)</f>
        <v>42260</v>
      </c>
      <c r="C1896" s="26" t="str">
        <f>IFERROR(__xludf.DUMMYFUNCTION("""COMPUTED_VALUE"""),"Zuschuss Carroll")</f>
        <v>Zuschuss Carroll</v>
      </c>
      <c r="D1896" s="26" t="str">
        <f>IFERROR(__xludf.DUMMYFUNCTION("""COMPUTED_VALUE"""),"Consumer")</f>
        <v>Consumer</v>
      </c>
      <c r="E1896" s="26" t="str">
        <f>IFERROR(__xludf.DUMMYFUNCTION("""COMPUTED_VALUE"""),"Central")</f>
        <v>Central</v>
      </c>
      <c r="F1896" s="26">
        <f>IFERROR(__xludf.DUMMYFUNCTION("""COMPUTED_VALUE"""),199.96)</f>
        <v>199.96</v>
      </c>
      <c r="G1896" s="26">
        <f>IFERROR(__xludf.DUMMYFUNCTION("""COMPUTED_VALUE"""),4.0)</f>
        <v>4</v>
      </c>
      <c r="H1896" s="26">
        <f>IFERROR(__xludf.DUMMYFUNCTION("""COMPUTED_VALUE"""),15.9968)</f>
        <v>15.9968</v>
      </c>
    </row>
    <row r="1897">
      <c r="A1897" s="26" t="str">
        <f>IFERROR(__xludf.DUMMYFUNCTION("""COMPUTED_VALUE"""),"US-2015-168914")</f>
        <v>US-2015-168914</v>
      </c>
      <c r="B1897" s="27">
        <f>IFERROR(__xludf.DUMMYFUNCTION("""COMPUTED_VALUE"""),42145.0)</f>
        <v>42145</v>
      </c>
      <c r="C1897" s="26" t="str">
        <f>IFERROR(__xludf.DUMMYFUNCTION("""COMPUTED_VALUE"""),"Joel Eaton")</f>
        <v>Joel Eaton</v>
      </c>
      <c r="D1897" s="26" t="str">
        <f>IFERROR(__xludf.DUMMYFUNCTION("""COMPUTED_VALUE"""),"Consumer")</f>
        <v>Consumer</v>
      </c>
      <c r="E1897" s="26" t="str">
        <f>IFERROR(__xludf.DUMMYFUNCTION("""COMPUTED_VALUE"""),"Central")</f>
        <v>Central</v>
      </c>
      <c r="F1897" s="26">
        <f>IFERROR(__xludf.DUMMYFUNCTION("""COMPUTED_VALUE"""),20.768)</f>
        <v>20.768</v>
      </c>
      <c r="G1897" s="26">
        <f>IFERROR(__xludf.DUMMYFUNCTION("""COMPUTED_VALUE"""),8.0)</f>
        <v>8</v>
      </c>
      <c r="H1897" s="26">
        <f>IFERROR(__xludf.DUMMYFUNCTION("""COMPUTED_VALUE"""),-52.9584)</f>
        <v>-52.9584</v>
      </c>
    </row>
    <row r="1898">
      <c r="A1898" s="26" t="str">
        <f>IFERROR(__xludf.DUMMYFUNCTION("""COMPUTED_VALUE"""),"CA-2015-105158")</f>
        <v>CA-2015-105158</v>
      </c>
      <c r="B1898" s="27">
        <f>IFERROR(__xludf.DUMMYFUNCTION("""COMPUTED_VALUE"""),42252.0)</f>
        <v>42252</v>
      </c>
      <c r="C1898" s="26" t="str">
        <f>IFERROR(__xludf.DUMMYFUNCTION("""COMPUTED_VALUE"""),"Sung Pak")</f>
        <v>Sung Pak</v>
      </c>
      <c r="D1898" s="26" t="str">
        <f>IFERROR(__xludf.DUMMYFUNCTION("""COMPUTED_VALUE"""),"Corporate")</f>
        <v>Corporate</v>
      </c>
      <c r="E1898" s="26" t="str">
        <f>IFERROR(__xludf.DUMMYFUNCTION("""COMPUTED_VALUE"""),"Central")</f>
        <v>Central</v>
      </c>
      <c r="F1898" s="26">
        <f>IFERROR(__xludf.DUMMYFUNCTION("""COMPUTED_VALUE"""),6.16)</f>
        <v>6.16</v>
      </c>
      <c r="G1898" s="26">
        <f>IFERROR(__xludf.DUMMYFUNCTION("""COMPUTED_VALUE"""),2.0)</f>
        <v>2</v>
      </c>
      <c r="H1898" s="26">
        <f>IFERROR(__xludf.DUMMYFUNCTION("""COMPUTED_VALUE"""),2.9568)</f>
        <v>2.9568</v>
      </c>
    </row>
    <row r="1899">
      <c r="A1899" s="26" t="str">
        <f>IFERROR(__xludf.DUMMYFUNCTION("""COMPUTED_VALUE"""),"CA-2015-120320")</f>
        <v>CA-2015-120320</v>
      </c>
      <c r="B1899" s="27">
        <f>IFERROR(__xludf.DUMMYFUNCTION("""COMPUTED_VALUE"""),42068.0)</f>
        <v>42068</v>
      </c>
      <c r="C1899" s="26" t="str">
        <f>IFERROR(__xludf.DUMMYFUNCTION("""COMPUTED_VALUE"""),"Mike Vittorini")</f>
        <v>Mike Vittorini</v>
      </c>
      <c r="D1899" s="26" t="str">
        <f>IFERROR(__xludf.DUMMYFUNCTION("""COMPUTED_VALUE"""),"Consumer")</f>
        <v>Consumer</v>
      </c>
      <c r="E1899" s="26" t="str">
        <f>IFERROR(__xludf.DUMMYFUNCTION("""COMPUTED_VALUE"""),"Central")</f>
        <v>Central</v>
      </c>
      <c r="F1899" s="26">
        <f>IFERROR(__xludf.DUMMYFUNCTION("""COMPUTED_VALUE"""),31.92)</f>
        <v>31.92</v>
      </c>
      <c r="G1899" s="26">
        <f>IFERROR(__xludf.DUMMYFUNCTION("""COMPUTED_VALUE"""),2.0)</f>
        <v>2</v>
      </c>
      <c r="H1899" s="26">
        <f>IFERROR(__xludf.DUMMYFUNCTION("""COMPUTED_VALUE"""),2.394)</f>
        <v>2.394</v>
      </c>
    </row>
    <row r="1900">
      <c r="A1900" s="26" t="str">
        <f>IFERROR(__xludf.DUMMYFUNCTION("""COMPUTED_VALUE"""),"CA-2015-149811")</f>
        <v>CA-2015-149811</v>
      </c>
      <c r="B1900" s="27">
        <f>IFERROR(__xludf.DUMMYFUNCTION("""COMPUTED_VALUE"""),42008.0)</f>
        <v>42008</v>
      </c>
      <c r="C1900" s="26" t="str">
        <f>IFERROR(__xludf.DUMMYFUNCTION("""COMPUTED_VALUE"""),"Chris Selesnick")</f>
        <v>Chris Selesnick</v>
      </c>
      <c r="D1900" s="26" t="str">
        <f>IFERROR(__xludf.DUMMYFUNCTION("""COMPUTED_VALUE"""),"Corporate")</f>
        <v>Corporate</v>
      </c>
      <c r="E1900" s="26" t="str">
        <f>IFERROR(__xludf.DUMMYFUNCTION("""COMPUTED_VALUE"""),"Central")</f>
        <v>Central</v>
      </c>
      <c r="F1900" s="26">
        <f>IFERROR(__xludf.DUMMYFUNCTION("""COMPUTED_VALUE"""),32.34)</f>
        <v>32.34</v>
      </c>
      <c r="G1900" s="26">
        <f>IFERROR(__xludf.DUMMYFUNCTION("""COMPUTED_VALUE"""),3.0)</f>
        <v>3</v>
      </c>
      <c r="H1900" s="26">
        <f>IFERROR(__xludf.DUMMYFUNCTION("""COMPUTED_VALUE"""),15.5232)</f>
        <v>15.5232</v>
      </c>
    </row>
    <row r="1901">
      <c r="A1901" s="26" t="str">
        <f>IFERROR(__xludf.DUMMYFUNCTION("""COMPUTED_VALUE"""),"CA-2015-118738")</f>
        <v>CA-2015-118738</v>
      </c>
      <c r="B1901" s="27">
        <f>IFERROR(__xludf.DUMMYFUNCTION("""COMPUTED_VALUE"""),42301.0)</f>
        <v>42301</v>
      </c>
      <c r="C1901" s="26" t="str">
        <f>IFERROR(__xludf.DUMMYFUNCTION("""COMPUTED_VALUE"""),"Andrew Gjertsen")</f>
        <v>Andrew Gjertsen</v>
      </c>
      <c r="D1901" s="26" t="str">
        <f>IFERROR(__xludf.DUMMYFUNCTION("""COMPUTED_VALUE"""),"Corporate")</f>
        <v>Corporate</v>
      </c>
      <c r="E1901" s="26" t="str">
        <f>IFERROR(__xludf.DUMMYFUNCTION("""COMPUTED_VALUE"""),"Central")</f>
        <v>Central</v>
      </c>
      <c r="F1901" s="26">
        <f>IFERROR(__xludf.DUMMYFUNCTION("""COMPUTED_VALUE"""),15.552)</f>
        <v>15.552</v>
      </c>
      <c r="G1901" s="26">
        <f>IFERROR(__xludf.DUMMYFUNCTION("""COMPUTED_VALUE"""),3.0)</f>
        <v>3</v>
      </c>
      <c r="H1901" s="26">
        <f>IFERROR(__xludf.DUMMYFUNCTION("""COMPUTED_VALUE"""),5.4432)</f>
        <v>5.4432</v>
      </c>
    </row>
    <row r="1902">
      <c r="A1902" s="26" t="str">
        <f>IFERROR(__xludf.DUMMYFUNCTION("""COMPUTED_VALUE"""),"CA-2015-110877")</f>
        <v>CA-2015-110877</v>
      </c>
      <c r="B1902" s="27">
        <f>IFERROR(__xludf.DUMMYFUNCTION("""COMPUTED_VALUE"""),42300.0)</f>
        <v>42300</v>
      </c>
      <c r="C1902" s="26" t="str">
        <f>IFERROR(__xludf.DUMMYFUNCTION("""COMPUTED_VALUE"""),"Joe Elijah")</f>
        <v>Joe Elijah</v>
      </c>
      <c r="D1902" s="26" t="str">
        <f>IFERROR(__xludf.DUMMYFUNCTION("""COMPUTED_VALUE"""),"Consumer")</f>
        <v>Consumer</v>
      </c>
      <c r="E1902" s="26" t="str">
        <f>IFERROR(__xludf.DUMMYFUNCTION("""COMPUTED_VALUE"""),"Central")</f>
        <v>Central</v>
      </c>
      <c r="F1902" s="26">
        <f>IFERROR(__xludf.DUMMYFUNCTION("""COMPUTED_VALUE"""),36.288)</f>
        <v>36.288</v>
      </c>
      <c r="G1902" s="26">
        <f>IFERROR(__xludf.DUMMYFUNCTION("""COMPUTED_VALUE"""),7.0)</f>
        <v>7</v>
      </c>
      <c r="H1902" s="26">
        <f>IFERROR(__xludf.DUMMYFUNCTION("""COMPUTED_VALUE"""),12.7008)</f>
        <v>12.7008</v>
      </c>
    </row>
    <row r="1903">
      <c r="A1903" s="26" t="str">
        <f>IFERROR(__xludf.DUMMYFUNCTION("""COMPUTED_VALUE"""),"CA-2015-156608")</f>
        <v>CA-2015-156608</v>
      </c>
      <c r="B1903" s="27">
        <f>IFERROR(__xludf.DUMMYFUNCTION("""COMPUTED_VALUE"""),42301.0)</f>
        <v>42301</v>
      </c>
      <c r="C1903" s="26" t="str">
        <f>IFERROR(__xludf.DUMMYFUNCTION("""COMPUTED_VALUE"""),"Michelle Tran")</f>
        <v>Michelle Tran</v>
      </c>
      <c r="D1903" s="26" t="str">
        <f>IFERROR(__xludf.DUMMYFUNCTION("""COMPUTED_VALUE"""),"Home Office")</f>
        <v>Home Office</v>
      </c>
      <c r="E1903" s="26" t="str">
        <f>IFERROR(__xludf.DUMMYFUNCTION("""COMPUTED_VALUE"""),"Central")</f>
        <v>Central</v>
      </c>
      <c r="F1903" s="26">
        <f>IFERROR(__xludf.DUMMYFUNCTION("""COMPUTED_VALUE"""),3.592)</f>
        <v>3.592</v>
      </c>
      <c r="G1903" s="26">
        <f>IFERROR(__xludf.DUMMYFUNCTION("""COMPUTED_VALUE"""),4.0)</f>
        <v>4</v>
      </c>
      <c r="H1903" s="26">
        <f>IFERROR(__xludf.DUMMYFUNCTION("""COMPUTED_VALUE"""),-6.286)</f>
        <v>-6.286</v>
      </c>
    </row>
    <row r="1904">
      <c r="A1904" s="26" t="str">
        <f>IFERROR(__xludf.DUMMYFUNCTION("""COMPUTED_VALUE"""),"CA-2015-120551")</f>
        <v>CA-2015-120551</v>
      </c>
      <c r="B1904" s="27">
        <f>IFERROR(__xludf.DUMMYFUNCTION("""COMPUTED_VALUE"""),42107.0)</f>
        <v>42107</v>
      </c>
      <c r="C1904" s="26" t="str">
        <f>IFERROR(__xludf.DUMMYFUNCTION("""COMPUTED_VALUE"""),"Sonia Sunley")</f>
        <v>Sonia Sunley</v>
      </c>
      <c r="D1904" s="26" t="str">
        <f>IFERROR(__xludf.DUMMYFUNCTION("""COMPUTED_VALUE"""),"Consumer")</f>
        <v>Consumer</v>
      </c>
      <c r="E1904" s="26" t="str">
        <f>IFERROR(__xludf.DUMMYFUNCTION("""COMPUTED_VALUE"""),"Central")</f>
        <v>Central</v>
      </c>
      <c r="F1904" s="26">
        <f>IFERROR(__xludf.DUMMYFUNCTION("""COMPUTED_VALUE"""),17.43)</f>
        <v>17.43</v>
      </c>
      <c r="G1904" s="26">
        <f>IFERROR(__xludf.DUMMYFUNCTION("""COMPUTED_VALUE"""),3.0)</f>
        <v>3</v>
      </c>
      <c r="H1904" s="26">
        <f>IFERROR(__xludf.DUMMYFUNCTION("""COMPUTED_VALUE"""),8.0178)</f>
        <v>8.0178</v>
      </c>
    </row>
    <row r="1905">
      <c r="A1905" s="26" t="str">
        <f>IFERROR(__xludf.DUMMYFUNCTION("""COMPUTED_VALUE"""),"CA-2015-134943")</f>
        <v>CA-2015-134943</v>
      </c>
      <c r="B1905" s="27">
        <f>IFERROR(__xludf.DUMMYFUNCTION("""COMPUTED_VALUE"""),42343.0)</f>
        <v>42343</v>
      </c>
      <c r="C1905" s="26" t="str">
        <f>IFERROR(__xludf.DUMMYFUNCTION("""COMPUTED_VALUE"""),"Stephanie Ulpright")</f>
        <v>Stephanie Ulpright</v>
      </c>
      <c r="D1905" s="26" t="str">
        <f>IFERROR(__xludf.DUMMYFUNCTION("""COMPUTED_VALUE"""),"Home Office")</f>
        <v>Home Office</v>
      </c>
      <c r="E1905" s="26" t="str">
        <f>IFERROR(__xludf.DUMMYFUNCTION("""COMPUTED_VALUE"""),"Central")</f>
        <v>Central</v>
      </c>
      <c r="F1905" s="26">
        <f>IFERROR(__xludf.DUMMYFUNCTION("""COMPUTED_VALUE"""),152.8)</f>
        <v>152.8</v>
      </c>
      <c r="G1905" s="26">
        <f>IFERROR(__xludf.DUMMYFUNCTION("""COMPUTED_VALUE"""),5.0)</f>
        <v>5</v>
      </c>
      <c r="H1905" s="26">
        <f>IFERROR(__xludf.DUMMYFUNCTION("""COMPUTED_VALUE"""),76.4)</f>
        <v>76.4</v>
      </c>
    </row>
    <row r="1906">
      <c r="A1906" s="26" t="str">
        <f>IFERROR(__xludf.DUMMYFUNCTION("""COMPUTED_VALUE"""),"CA-2015-119550")</f>
        <v>CA-2015-119550</v>
      </c>
      <c r="B1906" s="27">
        <f>IFERROR(__xludf.DUMMYFUNCTION("""COMPUTED_VALUE"""),42364.0)</f>
        <v>42364</v>
      </c>
      <c r="C1906" s="26" t="str">
        <f>IFERROR(__xludf.DUMMYFUNCTION("""COMPUTED_VALUE"""),"Roger Barcio")</f>
        <v>Roger Barcio</v>
      </c>
      <c r="D1906" s="26" t="str">
        <f>IFERROR(__xludf.DUMMYFUNCTION("""COMPUTED_VALUE"""),"Home Office")</f>
        <v>Home Office</v>
      </c>
      <c r="E1906" s="26" t="str">
        <f>IFERROR(__xludf.DUMMYFUNCTION("""COMPUTED_VALUE"""),"Central")</f>
        <v>Central</v>
      </c>
      <c r="F1906" s="26">
        <f>IFERROR(__xludf.DUMMYFUNCTION("""COMPUTED_VALUE"""),275.058)</f>
        <v>275.058</v>
      </c>
      <c r="G1906" s="26">
        <f>IFERROR(__xludf.DUMMYFUNCTION("""COMPUTED_VALUE"""),3.0)</f>
        <v>3</v>
      </c>
      <c r="H1906" s="26">
        <f>IFERROR(__xludf.DUMMYFUNCTION("""COMPUTED_VALUE"""),-90.3762)</f>
        <v>-90.3762</v>
      </c>
    </row>
    <row r="1907">
      <c r="A1907" s="26" t="str">
        <f>IFERROR(__xludf.DUMMYFUNCTION("""COMPUTED_VALUE"""),"CA-2015-124107")</f>
        <v>CA-2015-124107</v>
      </c>
      <c r="B1907" s="27">
        <f>IFERROR(__xludf.DUMMYFUNCTION("""COMPUTED_VALUE"""),42286.0)</f>
        <v>42286</v>
      </c>
      <c r="C1907" s="26" t="str">
        <f>IFERROR(__xludf.DUMMYFUNCTION("""COMPUTED_VALUE"""),"Brian Moss")</f>
        <v>Brian Moss</v>
      </c>
      <c r="D1907" s="26" t="str">
        <f>IFERROR(__xludf.DUMMYFUNCTION("""COMPUTED_VALUE"""),"Corporate")</f>
        <v>Corporate</v>
      </c>
      <c r="E1907" s="26" t="str">
        <f>IFERROR(__xludf.DUMMYFUNCTION("""COMPUTED_VALUE"""),"Central")</f>
        <v>Central</v>
      </c>
      <c r="F1907" s="26">
        <f>IFERROR(__xludf.DUMMYFUNCTION("""COMPUTED_VALUE"""),619.95)</f>
        <v>619.95</v>
      </c>
      <c r="G1907" s="26">
        <f>IFERROR(__xludf.DUMMYFUNCTION("""COMPUTED_VALUE"""),5.0)</f>
        <v>5</v>
      </c>
      <c r="H1907" s="26">
        <f>IFERROR(__xludf.DUMMYFUNCTION("""COMPUTED_VALUE"""),111.591)</f>
        <v>111.591</v>
      </c>
    </row>
    <row r="1908">
      <c r="A1908" s="26" t="str">
        <f>IFERROR(__xludf.DUMMYFUNCTION("""COMPUTED_VALUE"""),"CA-2015-110548")</f>
        <v>CA-2015-110548</v>
      </c>
      <c r="B1908" s="27">
        <f>IFERROR(__xludf.DUMMYFUNCTION("""COMPUTED_VALUE"""),42128.0)</f>
        <v>42128</v>
      </c>
      <c r="C1908" s="26" t="str">
        <f>IFERROR(__xludf.DUMMYFUNCTION("""COMPUTED_VALUE"""),"Anna Häberlin")</f>
        <v>Anna Häberlin</v>
      </c>
      <c r="D1908" s="26" t="str">
        <f>IFERROR(__xludf.DUMMYFUNCTION("""COMPUTED_VALUE"""),"Corporate")</f>
        <v>Corporate</v>
      </c>
      <c r="E1908" s="26" t="str">
        <f>IFERROR(__xludf.DUMMYFUNCTION("""COMPUTED_VALUE"""),"Central")</f>
        <v>Central</v>
      </c>
      <c r="F1908" s="26">
        <f>IFERROR(__xludf.DUMMYFUNCTION("""COMPUTED_VALUE"""),946.344)</f>
        <v>946.344</v>
      </c>
      <c r="G1908" s="26">
        <f>IFERROR(__xludf.DUMMYFUNCTION("""COMPUTED_VALUE"""),7.0)</f>
        <v>7</v>
      </c>
      <c r="H1908" s="26">
        <f>IFERROR(__xludf.DUMMYFUNCTION("""COMPUTED_VALUE"""),118.293)</f>
        <v>118.293</v>
      </c>
    </row>
    <row r="1909">
      <c r="A1909" s="26" t="str">
        <f>IFERROR(__xludf.DUMMYFUNCTION("""COMPUTED_VALUE"""),"CA-2015-158939")</f>
        <v>CA-2015-158939</v>
      </c>
      <c r="B1909" s="27">
        <f>IFERROR(__xludf.DUMMYFUNCTION("""COMPUTED_VALUE"""),42334.0)</f>
        <v>42334</v>
      </c>
      <c r="C1909" s="26" t="str">
        <f>IFERROR(__xludf.DUMMYFUNCTION("""COMPUTED_VALUE"""),"Erin Ashbrook")</f>
        <v>Erin Ashbrook</v>
      </c>
      <c r="D1909" s="26" t="str">
        <f>IFERROR(__xludf.DUMMYFUNCTION("""COMPUTED_VALUE"""),"Corporate")</f>
        <v>Corporate</v>
      </c>
      <c r="E1909" s="26" t="str">
        <f>IFERROR(__xludf.DUMMYFUNCTION("""COMPUTED_VALUE"""),"Central")</f>
        <v>Central</v>
      </c>
      <c r="F1909" s="26">
        <f>IFERROR(__xludf.DUMMYFUNCTION("""COMPUTED_VALUE"""),599.99)</f>
        <v>599.99</v>
      </c>
      <c r="G1909" s="26">
        <f>IFERROR(__xludf.DUMMYFUNCTION("""COMPUTED_VALUE"""),1.0)</f>
        <v>1</v>
      </c>
      <c r="H1909" s="26">
        <f>IFERROR(__xludf.DUMMYFUNCTION("""COMPUTED_VALUE"""),233.9961)</f>
        <v>233.9961</v>
      </c>
    </row>
    <row r="1910">
      <c r="A1910" s="26" t="str">
        <f>IFERROR(__xludf.DUMMYFUNCTION("""COMPUTED_VALUE"""),"CA-2015-121783")</f>
        <v>CA-2015-121783</v>
      </c>
      <c r="B1910" s="27">
        <f>IFERROR(__xludf.DUMMYFUNCTION("""COMPUTED_VALUE"""),42318.0)</f>
        <v>42318</v>
      </c>
      <c r="C1910" s="26" t="str">
        <f>IFERROR(__xludf.DUMMYFUNCTION("""COMPUTED_VALUE"""),"Philisse Overcash")</f>
        <v>Philisse Overcash</v>
      </c>
      <c r="D1910" s="26" t="str">
        <f>IFERROR(__xludf.DUMMYFUNCTION("""COMPUTED_VALUE"""),"Home Office")</f>
        <v>Home Office</v>
      </c>
      <c r="E1910" s="26" t="str">
        <f>IFERROR(__xludf.DUMMYFUNCTION("""COMPUTED_VALUE"""),"Central")</f>
        <v>Central</v>
      </c>
      <c r="F1910" s="26">
        <f>IFERROR(__xludf.DUMMYFUNCTION("""COMPUTED_VALUE"""),715.64)</f>
        <v>715.64</v>
      </c>
      <c r="G1910" s="26">
        <f>IFERROR(__xludf.DUMMYFUNCTION("""COMPUTED_VALUE"""),2.0)</f>
        <v>2</v>
      </c>
      <c r="H1910" s="26">
        <f>IFERROR(__xludf.DUMMYFUNCTION("""COMPUTED_VALUE"""),178.91)</f>
        <v>178.91</v>
      </c>
    </row>
    <row r="1911">
      <c r="A1911" s="26" t="str">
        <f>IFERROR(__xludf.DUMMYFUNCTION("""COMPUTED_VALUE"""),"CA-2015-112214")</f>
        <v>CA-2015-112214</v>
      </c>
      <c r="B1911" s="27">
        <f>IFERROR(__xludf.DUMMYFUNCTION("""COMPUTED_VALUE"""),42221.0)</f>
        <v>42221</v>
      </c>
      <c r="C1911" s="26" t="str">
        <f>IFERROR(__xludf.DUMMYFUNCTION("""COMPUTED_VALUE"""),"Anna Häberlin")</f>
        <v>Anna Häberlin</v>
      </c>
      <c r="D1911" s="26" t="str">
        <f>IFERROR(__xludf.DUMMYFUNCTION("""COMPUTED_VALUE"""),"Corporate")</f>
        <v>Corporate</v>
      </c>
      <c r="E1911" s="26" t="str">
        <f>IFERROR(__xludf.DUMMYFUNCTION("""COMPUTED_VALUE"""),"Central")</f>
        <v>Central</v>
      </c>
      <c r="F1911" s="26">
        <f>IFERROR(__xludf.DUMMYFUNCTION("""COMPUTED_VALUE"""),33.488)</f>
        <v>33.488</v>
      </c>
      <c r="G1911" s="26">
        <f>IFERROR(__xludf.DUMMYFUNCTION("""COMPUTED_VALUE"""),7.0)</f>
        <v>7</v>
      </c>
      <c r="H1911" s="26">
        <f>IFERROR(__xludf.DUMMYFUNCTION("""COMPUTED_VALUE"""),-1.2558)</f>
        <v>-1.2558</v>
      </c>
    </row>
    <row r="1912">
      <c r="A1912" s="26" t="str">
        <f>IFERROR(__xludf.DUMMYFUNCTION("""COMPUTED_VALUE"""),"CA-2015-115924")</f>
        <v>CA-2015-115924</v>
      </c>
      <c r="B1912" s="27">
        <f>IFERROR(__xludf.DUMMYFUNCTION("""COMPUTED_VALUE"""),42261.0)</f>
        <v>42261</v>
      </c>
      <c r="C1912" s="26" t="str">
        <f>IFERROR(__xludf.DUMMYFUNCTION("""COMPUTED_VALUE"""),"Brad Eason")</f>
        <v>Brad Eason</v>
      </c>
      <c r="D1912" s="26" t="str">
        <f>IFERROR(__xludf.DUMMYFUNCTION("""COMPUTED_VALUE"""),"Home Office")</f>
        <v>Home Office</v>
      </c>
      <c r="E1912" s="26" t="str">
        <f>IFERROR(__xludf.DUMMYFUNCTION("""COMPUTED_VALUE"""),"Central")</f>
        <v>Central</v>
      </c>
      <c r="F1912" s="26">
        <f>IFERROR(__xludf.DUMMYFUNCTION("""COMPUTED_VALUE"""),25.9)</f>
        <v>25.9</v>
      </c>
      <c r="G1912" s="26">
        <f>IFERROR(__xludf.DUMMYFUNCTION("""COMPUTED_VALUE"""),5.0)</f>
        <v>5</v>
      </c>
      <c r="H1912" s="26">
        <f>IFERROR(__xludf.DUMMYFUNCTION("""COMPUTED_VALUE"""),12.691)</f>
        <v>12.691</v>
      </c>
    </row>
    <row r="1913">
      <c r="A1913" s="26" t="str">
        <f>IFERROR(__xludf.DUMMYFUNCTION("""COMPUTED_VALUE"""),"US-2015-155369")</f>
        <v>US-2015-155369</v>
      </c>
      <c r="B1913" s="27">
        <f>IFERROR(__xludf.DUMMYFUNCTION("""COMPUTED_VALUE"""),42113.0)</f>
        <v>42113</v>
      </c>
      <c r="C1913" s="26" t="str">
        <f>IFERROR(__xludf.DUMMYFUNCTION("""COMPUTED_VALUE"""),"Patrick Gardner")</f>
        <v>Patrick Gardner</v>
      </c>
      <c r="D1913" s="26" t="str">
        <f>IFERROR(__xludf.DUMMYFUNCTION("""COMPUTED_VALUE"""),"Consumer")</f>
        <v>Consumer</v>
      </c>
      <c r="E1913" s="26" t="str">
        <f>IFERROR(__xludf.DUMMYFUNCTION("""COMPUTED_VALUE"""),"Central")</f>
        <v>Central</v>
      </c>
      <c r="F1913" s="26">
        <f>IFERROR(__xludf.DUMMYFUNCTION("""COMPUTED_VALUE"""),19.568)</f>
        <v>19.568</v>
      </c>
      <c r="G1913" s="26">
        <f>IFERROR(__xludf.DUMMYFUNCTION("""COMPUTED_VALUE"""),2.0)</f>
        <v>2</v>
      </c>
      <c r="H1913" s="26">
        <f>IFERROR(__xludf.DUMMYFUNCTION("""COMPUTED_VALUE"""),-52.8336)</f>
        <v>-52.8336</v>
      </c>
    </row>
    <row r="1914">
      <c r="A1914" s="26" t="str">
        <f>IFERROR(__xludf.DUMMYFUNCTION("""COMPUTED_VALUE"""),"CA-2015-153878")</f>
        <v>CA-2015-153878</v>
      </c>
      <c r="B1914" s="27">
        <f>IFERROR(__xludf.DUMMYFUNCTION("""COMPUTED_VALUE"""),42119.0)</f>
        <v>42119</v>
      </c>
      <c r="C1914" s="26" t="str">
        <f>IFERROR(__xludf.DUMMYFUNCTION("""COMPUTED_VALUE"""),"Trudy Schmidt")</f>
        <v>Trudy Schmidt</v>
      </c>
      <c r="D1914" s="26" t="str">
        <f>IFERROR(__xludf.DUMMYFUNCTION("""COMPUTED_VALUE"""),"Consumer")</f>
        <v>Consumer</v>
      </c>
      <c r="E1914" s="26" t="str">
        <f>IFERROR(__xludf.DUMMYFUNCTION("""COMPUTED_VALUE"""),"Central")</f>
        <v>Central</v>
      </c>
      <c r="F1914" s="26">
        <f>IFERROR(__xludf.DUMMYFUNCTION("""COMPUTED_VALUE"""),57.75)</f>
        <v>57.75</v>
      </c>
      <c r="G1914" s="26">
        <f>IFERROR(__xludf.DUMMYFUNCTION("""COMPUTED_VALUE"""),5.0)</f>
        <v>5</v>
      </c>
      <c r="H1914" s="26">
        <f>IFERROR(__xludf.DUMMYFUNCTION("""COMPUTED_VALUE"""),16.17)</f>
        <v>16.17</v>
      </c>
    </row>
    <row r="1915">
      <c r="A1915" s="26" t="str">
        <f>IFERROR(__xludf.DUMMYFUNCTION("""COMPUTED_VALUE"""),"CA-2015-120901")</f>
        <v>CA-2015-120901</v>
      </c>
      <c r="B1915" s="27">
        <f>IFERROR(__xludf.DUMMYFUNCTION("""COMPUTED_VALUE"""),42369.0)</f>
        <v>42369</v>
      </c>
      <c r="C1915" s="26" t="str">
        <f>IFERROR(__xludf.DUMMYFUNCTION("""COMPUTED_VALUE"""),"Barry Gonzalez")</f>
        <v>Barry Gonzalez</v>
      </c>
      <c r="D1915" s="26" t="str">
        <f>IFERROR(__xludf.DUMMYFUNCTION("""COMPUTED_VALUE"""),"Consumer")</f>
        <v>Consumer</v>
      </c>
      <c r="E1915" s="26" t="str">
        <f>IFERROR(__xludf.DUMMYFUNCTION("""COMPUTED_VALUE"""),"Central")</f>
        <v>Central</v>
      </c>
      <c r="F1915" s="26">
        <f>IFERROR(__xludf.DUMMYFUNCTION("""COMPUTED_VALUE"""),152.688)</f>
        <v>152.688</v>
      </c>
      <c r="G1915" s="26">
        <f>IFERROR(__xludf.DUMMYFUNCTION("""COMPUTED_VALUE"""),2.0)</f>
        <v>2</v>
      </c>
      <c r="H1915" s="26">
        <f>IFERROR(__xludf.DUMMYFUNCTION("""COMPUTED_VALUE"""),-26.7204)</f>
        <v>-26.7204</v>
      </c>
    </row>
    <row r="1916">
      <c r="A1916" s="26" t="str">
        <f>IFERROR(__xludf.DUMMYFUNCTION("""COMPUTED_VALUE"""),"CA-2015-142139")</f>
        <v>CA-2015-142139</v>
      </c>
      <c r="B1916" s="27">
        <f>IFERROR(__xludf.DUMMYFUNCTION("""COMPUTED_VALUE"""),42247.0)</f>
        <v>42247</v>
      </c>
      <c r="C1916" s="26" t="str">
        <f>IFERROR(__xludf.DUMMYFUNCTION("""COMPUTED_VALUE"""),"Shirley Daniels")</f>
        <v>Shirley Daniels</v>
      </c>
      <c r="D1916" s="26" t="str">
        <f>IFERROR(__xludf.DUMMYFUNCTION("""COMPUTED_VALUE"""),"Home Office")</f>
        <v>Home Office</v>
      </c>
      <c r="E1916" s="26" t="str">
        <f>IFERROR(__xludf.DUMMYFUNCTION("""COMPUTED_VALUE"""),"Central")</f>
        <v>Central</v>
      </c>
      <c r="F1916" s="26">
        <f>IFERROR(__xludf.DUMMYFUNCTION("""COMPUTED_VALUE"""),20.96)</f>
        <v>20.96</v>
      </c>
      <c r="G1916" s="26">
        <f>IFERROR(__xludf.DUMMYFUNCTION("""COMPUTED_VALUE"""),4.0)</f>
        <v>4</v>
      </c>
      <c r="H1916" s="26">
        <f>IFERROR(__xludf.DUMMYFUNCTION("""COMPUTED_VALUE"""),6.812)</f>
        <v>6.812</v>
      </c>
    </row>
    <row r="1917">
      <c r="A1917" s="26" t="str">
        <f>IFERROR(__xludf.DUMMYFUNCTION("""COMPUTED_VALUE"""),"CA-2015-105613")</f>
        <v>CA-2015-105613</v>
      </c>
      <c r="B1917" s="27">
        <f>IFERROR(__xludf.DUMMYFUNCTION("""COMPUTED_VALUE"""),42295.0)</f>
        <v>42295</v>
      </c>
      <c r="C1917" s="26" t="str">
        <f>IFERROR(__xludf.DUMMYFUNCTION("""COMPUTED_VALUE"""),"Kristina Nunn")</f>
        <v>Kristina Nunn</v>
      </c>
      <c r="D1917" s="26" t="str">
        <f>IFERROR(__xludf.DUMMYFUNCTION("""COMPUTED_VALUE"""),"Home Office")</f>
        <v>Home Office</v>
      </c>
      <c r="E1917" s="26" t="str">
        <f>IFERROR(__xludf.DUMMYFUNCTION("""COMPUTED_VALUE"""),"Central")</f>
        <v>Central</v>
      </c>
      <c r="F1917" s="26">
        <f>IFERROR(__xludf.DUMMYFUNCTION("""COMPUTED_VALUE"""),27.696)</f>
        <v>27.696</v>
      </c>
      <c r="G1917" s="26">
        <f>IFERROR(__xludf.DUMMYFUNCTION("""COMPUTED_VALUE"""),3.0)</f>
        <v>3</v>
      </c>
      <c r="H1917" s="26">
        <f>IFERROR(__xludf.DUMMYFUNCTION("""COMPUTED_VALUE"""),3.462)</f>
        <v>3.462</v>
      </c>
    </row>
    <row r="1918">
      <c r="A1918" s="26" t="str">
        <f>IFERROR(__xludf.DUMMYFUNCTION("""COMPUTED_VALUE"""),"CA-2015-142433")</f>
        <v>CA-2015-142433</v>
      </c>
      <c r="B1918" s="27">
        <f>IFERROR(__xludf.DUMMYFUNCTION("""COMPUTED_VALUE"""),42114.0)</f>
        <v>42114</v>
      </c>
      <c r="C1918" s="26" t="str">
        <f>IFERROR(__xludf.DUMMYFUNCTION("""COMPUTED_VALUE"""),"Erica Smith")</f>
        <v>Erica Smith</v>
      </c>
      <c r="D1918" s="26" t="str">
        <f>IFERROR(__xludf.DUMMYFUNCTION("""COMPUTED_VALUE"""),"Consumer")</f>
        <v>Consumer</v>
      </c>
      <c r="E1918" s="26" t="str">
        <f>IFERROR(__xludf.DUMMYFUNCTION("""COMPUTED_VALUE"""),"Central")</f>
        <v>Central</v>
      </c>
      <c r="F1918" s="26">
        <f>IFERROR(__xludf.DUMMYFUNCTION("""COMPUTED_VALUE"""),117.456)</f>
        <v>117.456</v>
      </c>
      <c r="G1918" s="26">
        <f>IFERROR(__xludf.DUMMYFUNCTION("""COMPUTED_VALUE"""),3.0)</f>
        <v>3</v>
      </c>
      <c r="H1918" s="26">
        <f>IFERROR(__xludf.DUMMYFUNCTION("""COMPUTED_VALUE"""),44.046)</f>
        <v>44.046</v>
      </c>
    </row>
    <row r="1919">
      <c r="A1919" s="26" t="str">
        <f>IFERROR(__xludf.DUMMYFUNCTION("""COMPUTED_VALUE"""),"CA-2015-149909")</f>
        <v>CA-2015-149909</v>
      </c>
      <c r="B1919" s="27">
        <f>IFERROR(__xludf.DUMMYFUNCTION("""COMPUTED_VALUE"""),42321.0)</f>
        <v>42321</v>
      </c>
      <c r="C1919" s="26" t="str">
        <f>IFERROR(__xludf.DUMMYFUNCTION("""COMPUTED_VALUE"""),"Russell Applegate")</f>
        <v>Russell Applegate</v>
      </c>
      <c r="D1919" s="26" t="str">
        <f>IFERROR(__xludf.DUMMYFUNCTION("""COMPUTED_VALUE"""),"Consumer")</f>
        <v>Consumer</v>
      </c>
      <c r="E1919" s="26" t="str">
        <f>IFERROR(__xludf.DUMMYFUNCTION("""COMPUTED_VALUE"""),"Central")</f>
        <v>Central</v>
      </c>
      <c r="F1919" s="26">
        <f>IFERROR(__xludf.DUMMYFUNCTION("""COMPUTED_VALUE"""),63.77)</f>
        <v>63.77</v>
      </c>
      <c r="G1919" s="26">
        <f>IFERROR(__xludf.DUMMYFUNCTION("""COMPUTED_VALUE"""),7.0)</f>
        <v>7</v>
      </c>
      <c r="H1919" s="26">
        <f>IFERROR(__xludf.DUMMYFUNCTION("""COMPUTED_VALUE"""),28.6965)</f>
        <v>28.6965</v>
      </c>
    </row>
    <row r="1920">
      <c r="A1920" s="26" t="str">
        <f>IFERROR(__xludf.DUMMYFUNCTION("""COMPUTED_VALUE"""),"CA-2015-146675")</f>
        <v>CA-2015-146675</v>
      </c>
      <c r="B1920" s="27">
        <f>IFERROR(__xludf.DUMMYFUNCTION("""COMPUTED_VALUE"""),42110.0)</f>
        <v>42110</v>
      </c>
      <c r="C1920" s="26" t="str">
        <f>IFERROR(__xludf.DUMMYFUNCTION("""COMPUTED_VALUE"""),"Sarah Brown")</f>
        <v>Sarah Brown</v>
      </c>
      <c r="D1920" s="26" t="str">
        <f>IFERROR(__xludf.DUMMYFUNCTION("""COMPUTED_VALUE"""),"Consumer")</f>
        <v>Consumer</v>
      </c>
      <c r="E1920" s="26" t="str">
        <f>IFERROR(__xludf.DUMMYFUNCTION("""COMPUTED_VALUE"""),"Central")</f>
        <v>Central</v>
      </c>
      <c r="F1920" s="26">
        <f>IFERROR(__xludf.DUMMYFUNCTION("""COMPUTED_VALUE"""),1439.968)</f>
        <v>1439.968</v>
      </c>
      <c r="G1920" s="26">
        <f>IFERROR(__xludf.DUMMYFUNCTION("""COMPUTED_VALUE"""),4.0)</f>
        <v>4</v>
      </c>
      <c r="H1920" s="26">
        <f>IFERROR(__xludf.DUMMYFUNCTION("""COMPUTED_VALUE"""),485.9892)</f>
        <v>485.9892</v>
      </c>
    </row>
    <row r="1921">
      <c r="A1921" s="26" t="str">
        <f>IFERROR(__xludf.DUMMYFUNCTION("""COMPUTED_VALUE"""),"CA-2015-150441")</f>
        <v>CA-2015-150441</v>
      </c>
      <c r="B1921" s="27">
        <f>IFERROR(__xludf.DUMMYFUNCTION("""COMPUTED_VALUE"""),42229.0)</f>
        <v>42229</v>
      </c>
      <c r="C1921" s="26" t="str">
        <f>IFERROR(__xludf.DUMMYFUNCTION("""COMPUTED_VALUE"""),"Ralph Arnett")</f>
        <v>Ralph Arnett</v>
      </c>
      <c r="D1921" s="26" t="str">
        <f>IFERROR(__xludf.DUMMYFUNCTION("""COMPUTED_VALUE"""),"Consumer")</f>
        <v>Consumer</v>
      </c>
      <c r="E1921" s="26" t="str">
        <f>IFERROR(__xludf.DUMMYFUNCTION("""COMPUTED_VALUE"""),"Central")</f>
        <v>Central</v>
      </c>
      <c r="F1921" s="26">
        <f>IFERROR(__xludf.DUMMYFUNCTION("""COMPUTED_VALUE"""),11.36)</f>
        <v>11.36</v>
      </c>
      <c r="G1921" s="26">
        <f>IFERROR(__xludf.DUMMYFUNCTION("""COMPUTED_VALUE"""),4.0)</f>
        <v>4</v>
      </c>
      <c r="H1921" s="26">
        <f>IFERROR(__xludf.DUMMYFUNCTION("""COMPUTED_VALUE"""),5.5664)</f>
        <v>5.5664</v>
      </c>
    </row>
    <row r="1922">
      <c r="A1922" s="26" t="str">
        <f>IFERROR(__xludf.DUMMYFUNCTION("""COMPUTED_VALUE"""),"CA-2015-121405")</f>
        <v>CA-2015-121405</v>
      </c>
      <c r="B1922" s="27">
        <f>IFERROR(__xludf.DUMMYFUNCTION("""COMPUTED_VALUE"""),42093.0)</f>
        <v>42093</v>
      </c>
      <c r="C1922" s="26" t="str">
        <f>IFERROR(__xludf.DUMMYFUNCTION("""COMPUTED_VALUE"""),"Fred Chung")</f>
        <v>Fred Chung</v>
      </c>
      <c r="D1922" s="26" t="str">
        <f>IFERROR(__xludf.DUMMYFUNCTION("""COMPUTED_VALUE"""),"Corporate")</f>
        <v>Corporate</v>
      </c>
      <c r="E1922" s="26" t="str">
        <f>IFERROR(__xludf.DUMMYFUNCTION("""COMPUTED_VALUE"""),"Central")</f>
        <v>Central</v>
      </c>
      <c r="F1922" s="26">
        <f>IFERROR(__xludf.DUMMYFUNCTION("""COMPUTED_VALUE"""),23.52)</f>
        <v>23.52</v>
      </c>
      <c r="G1922" s="26">
        <f>IFERROR(__xludf.DUMMYFUNCTION("""COMPUTED_VALUE"""),5.0)</f>
        <v>5</v>
      </c>
      <c r="H1922" s="26">
        <f>IFERROR(__xludf.DUMMYFUNCTION("""COMPUTED_VALUE"""),8.526)</f>
        <v>8.526</v>
      </c>
    </row>
    <row r="1923">
      <c r="A1923" s="26" t="str">
        <f>IFERROR(__xludf.DUMMYFUNCTION("""COMPUTED_VALUE"""),"CA-2015-151785")</f>
        <v>CA-2015-151785</v>
      </c>
      <c r="B1923" s="27">
        <f>IFERROR(__xludf.DUMMYFUNCTION("""COMPUTED_VALUE"""),42068.0)</f>
        <v>42068</v>
      </c>
      <c r="C1923" s="26" t="str">
        <f>IFERROR(__xludf.DUMMYFUNCTION("""COMPUTED_VALUE"""),"Jennifer Jackson")</f>
        <v>Jennifer Jackson</v>
      </c>
      <c r="D1923" s="26" t="str">
        <f>IFERROR(__xludf.DUMMYFUNCTION("""COMPUTED_VALUE"""),"Consumer")</f>
        <v>Consumer</v>
      </c>
      <c r="E1923" s="26" t="str">
        <f>IFERROR(__xludf.DUMMYFUNCTION("""COMPUTED_VALUE"""),"Central")</f>
        <v>Central</v>
      </c>
      <c r="F1923" s="26">
        <f>IFERROR(__xludf.DUMMYFUNCTION("""COMPUTED_VALUE"""),7.104)</f>
        <v>7.104</v>
      </c>
      <c r="G1923" s="26">
        <f>IFERROR(__xludf.DUMMYFUNCTION("""COMPUTED_VALUE"""),6.0)</f>
        <v>6</v>
      </c>
      <c r="H1923" s="26">
        <f>IFERROR(__xludf.DUMMYFUNCTION("""COMPUTED_VALUE"""),2.4864)</f>
        <v>2.4864</v>
      </c>
    </row>
    <row r="1924">
      <c r="A1924" s="26" t="str">
        <f>IFERROR(__xludf.DUMMYFUNCTION("""COMPUTED_VALUE"""),"US-2015-110261")</f>
        <v>US-2015-110261</v>
      </c>
      <c r="B1924" s="27">
        <f>IFERROR(__xludf.DUMMYFUNCTION("""COMPUTED_VALUE"""),42357.0)</f>
        <v>42357</v>
      </c>
      <c r="C1924" s="26" t="str">
        <f>IFERROR(__xludf.DUMMYFUNCTION("""COMPUTED_VALUE"""),"Patrick Ryan")</f>
        <v>Patrick Ryan</v>
      </c>
      <c r="D1924" s="26" t="str">
        <f>IFERROR(__xludf.DUMMYFUNCTION("""COMPUTED_VALUE"""),"Consumer")</f>
        <v>Consumer</v>
      </c>
      <c r="E1924" s="26" t="str">
        <f>IFERROR(__xludf.DUMMYFUNCTION("""COMPUTED_VALUE"""),"Central")</f>
        <v>Central</v>
      </c>
      <c r="F1924" s="26">
        <f>IFERROR(__xludf.DUMMYFUNCTION("""COMPUTED_VALUE"""),158.376)</f>
        <v>158.376</v>
      </c>
      <c r="G1924" s="26">
        <f>IFERROR(__xludf.DUMMYFUNCTION("""COMPUTED_VALUE"""),3.0)</f>
        <v>3</v>
      </c>
      <c r="H1924" s="26">
        <f>IFERROR(__xludf.DUMMYFUNCTION("""COMPUTED_VALUE"""),13.8579)</f>
        <v>13.8579</v>
      </c>
    </row>
    <row r="1925">
      <c r="A1925" s="26" t="str">
        <f>IFERROR(__xludf.DUMMYFUNCTION("""COMPUTED_VALUE"""),"CA-2015-125710")</f>
        <v>CA-2015-125710</v>
      </c>
      <c r="B1925" s="27">
        <f>IFERROR(__xludf.DUMMYFUNCTION("""COMPUTED_VALUE"""),42285.0)</f>
        <v>42285</v>
      </c>
      <c r="C1925" s="26" t="str">
        <f>IFERROR(__xludf.DUMMYFUNCTION("""COMPUTED_VALUE"""),"Brian Thompson")</f>
        <v>Brian Thompson</v>
      </c>
      <c r="D1925" s="26" t="str">
        <f>IFERROR(__xludf.DUMMYFUNCTION("""COMPUTED_VALUE"""),"Consumer")</f>
        <v>Consumer</v>
      </c>
      <c r="E1925" s="26" t="str">
        <f>IFERROR(__xludf.DUMMYFUNCTION("""COMPUTED_VALUE"""),"Central")</f>
        <v>Central</v>
      </c>
      <c r="F1925" s="26">
        <f>IFERROR(__xludf.DUMMYFUNCTION("""COMPUTED_VALUE"""),3.44)</f>
        <v>3.44</v>
      </c>
      <c r="G1925" s="26">
        <f>IFERROR(__xludf.DUMMYFUNCTION("""COMPUTED_VALUE"""),2.0)</f>
        <v>2</v>
      </c>
      <c r="H1925" s="26">
        <f>IFERROR(__xludf.DUMMYFUNCTION("""COMPUTED_VALUE"""),0.559)</f>
        <v>0.559</v>
      </c>
    </row>
    <row r="1926">
      <c r="A1926" s="26" t="str">
        <f>IFERROR(__xludf.DUMMYFUNCTION("""COMPUTED_VALUE"""),"CA-2015-108532")</f>
        <v>CA-2015-108532</v>
      </c>
      <c r="B1926" s="27">
        <f>IFERROR(__xludf.DUMMYFUNCTION("""COMPUTED_VALUE"""),42245.0)</f>
        <v>42245</v>
      </c>
      <c r="C1926" s="26" t="str">
        <f>IFERROR(__xludf.DUMMYFUNCTION("""COMPUTED_VALUE"""),"Chad Cunningham")</f>
        <v>Chad Cunningham</v>
      </c>
      <c r="D1926" s="26" t="str">
        <f>IFERROR(__xludf.DUMMYFUNCTION("""COMPUTED_VALUE"""),"Home Office")</f>
        <v>Home Office</v>
      </c>
      <c r="E1926" s="26" t="str">
        <f>IFERROR(__xludf.DUMMYFUNCTION("""COMPUTED_VALUE"""),"Central")</f>
        <v>Central</v>
      </c>
      <c r="F1926" s="26">
        <f>IFERROR(__xludf.DUMMYFUNCTION("""COMPUTED_VALUE"""),131.98)</f>
        <v>131.98</v>
      </c>
      <c r="G1926" s="26">
        <f>IFERROR(__xludf.DUMMYFUNCTION("""COMPUTED_VALUE"""),2.0)</f>
        <v>2</v>
      </c>
      <c r="H1926" s="26">
        <f>IFERROR(__xludf.DUMMYFUNCTION("""COMPUTED_VALUE"""),35.6346)</f>
        <v>35.6346</v>
      </c>
    </row>
    <row r="1927">
      <c r="A1927" s="26" t="str">
        <f>IFERROR(__xludf.DUMMYFUNCTION("""COMPUTED_VALUE"""),"US-2015-164966")</f>
        <v>US-2015-164966</v>
      </c>
      <c r="B1927" s="27">
        <f>IFERROR(__xludf.DUMMYFUNCTION("""COMPUTED_VALUE"""),42215.0)</f>
        <v>42215</v>
      </c>
      <c r="C1927" s="26" t="str">
        <f>IFERROR(__xludf.DUMMYFUNCTION("""COMPUTED_VALUE"""),"Gary Hansen")</f>
        <v>Gary Hansen</v>
      </c>
      <c r="D1927" s="26" t="str">
        <f>IFERROR(__xludf.DUMMYFUNCTION("""COMPUTED_VALUE"""),"Home Office")</f>
        <v>Home Office</v>
      </c>
      <c r="E1927" s="26" t="str">
        <f>IFERROR(__xludf.DUMMYFUNCTION("""COMPUTED_VALUE"""),"Central")</f>
        <v>Central</v>
      </c>
      <c r="F1927" s="26">
        <f>IFERROR(__xludf.DUMMYFUNCTION("""COMPUTED_VALUE"""),155.88)</f>
        <v>155.88</v>
      </c>
      <c r="G1927" s="26">
        <f>IFERROR(__xludf.DUMMYFUNCTION("""COMPUTED_VALUE"""),6.0)</f>
        <v>6</v>
      </c>
      <c r="H1927" s="26">
        <f>IFERROR(__xludf.DUMMYFUNCTION("""COMPUTED_VALUE"""),38.97)</f>
        <v>38.97</v>
      </c>
    </row>
    <row r="1928">
      <c r="A1928" s="26" t="str">
        <f>IFERROR(__xludf.DUMMYFUNCTION("""COMPUTED_VALUE"""),"CA-2015-146290")</f>
        <v>CA-2015-146290</v>
      </c>
      <c r="B1928" s="27">
        <f>IFERROR(__xludf.DUMMYFUNCTION("""COMPUTED_VALUE"""),42128.0)</f>
        <v>42128</v>
      </c>
      <c r="C1928" s="26" t="str">
        <f>IFERROR(__xludf.DUMMYFUNCTION("""COMPUTED_VALUE"""),"Stuart Van")</f>
        <v>Stuart Van</v>
      </c>
      <c r="D1928" s="26" t="str">
        <f>IFERROR(__xludf.DUMMYFUNCTION("""COMPUTED_VALUE"""),"Corporate")</f>
        <v>Corporate</v>
      </c>
      <c r="E1928" s="26" t="str">
        <f>IFERROR(__xludf.DUMMYFUNCTION("""COMPUTED_VALUE"""),"Central")</f>
        <v>Central</v>
      </c>
      <c r="F1928" s="26">
        <f>IFERROR(__xludf.DUMMYFUNCTION("""COMPUTED_VALUE"""),125.93)</f>
        <v>125.93</v>
      </c>
      <c r="G1928" s="26">
        <f>IFERROR(__xludf.DUMMYFUNCTION("""COMPUTED_VALUE"""),7.0)</f>
        <v>7</v>
      </c>
      <c r="H1928" s="26">
        <f>IFERROR(__xludf.DUMMYFUNCTION("""COMPUTED_VALUE"""),35.2604)</f>
        <v>35.2604</v>
      </c>
    </row>
    <row r="1929">
      <c r="A1929" s="26" t="str">
        <f>IFERROR(__xludf.DUMMYFUNCTION("""COMPUTED_VALUE"""),"CA-2015-141250")</f>
        <v>CA-2015-141250</v>
      </c>
      <c r="B1929" s="27">
        <f>IFERROR(__xludf.DUMMYFUNCTION("""COMPUTED_VALUE"""),42023.0)</f>
        <v>42023</v>
      </c>
      <c r="C1929" s="26" t="str">
        <f>IFERROR(__xludf.DUMMYFUNCTION("""COMPUTED_VALUE"""),"Paul MacIntyre")</f>
        <v>Paul MacIntyre</v>
      </c>
      <c r="D1929" s="26" t="str">
        <f>IFERROR(__xludf.DUMMYFUNCTION("""COMPUTED_VALUE"""),"Consumer")</f>
        <v>Consumer</v>
      </c>
      <c r="E1929" s="26" t="str">
        <f>IFERROR(__xludf.DUMMYFUNCTION("""COMPUTED_VALUE"""),"Central")</f>
        <v>Central</v>
      </c>
      <c r="F1929" s="26">
        <f>IFERROR(__xludf.DUMMYFUNCTION("""COMPUTED_VALUE"""),102.438)</f>
        <v>102.438</v>
      </c>
      <c r="G1929" s="26">
        <f>IFERROR(__xludf.DUMMYFUNCTION("""COMPUTED_VALUE"""),1.0)</f>
        <v>1</v>
      </c>
      <c r="H1929" s="26">
        <f>IFERROR(__xludf.DUMMYFUNCTION("""COMPUTED_VALUE"""),-13.1706)</f>
        <v>-13.1706</v>
      </c>
    </row>
    <row r="1930">
      <c r="A1930" s="26" t="str">
        <f>IFERROR(__xludf.DUMMYFUNCTION("""COMPUTED_VALUE"""),"CA-2015-109337")</f>
        <v>CA-2015-109337</v>
      </c>
      <c r="B1930" s="27">
        <f>IFERROR(__xludf.DUMMYFUNCTION("""COMPUTED_VALUE"""),42329.0)</f>
        <v>42329</v>
      </c>
      <c r="C1930" s="26" t="str">
        <f>IFERROR(__xludf.DUMMYFUNCTION("""COMPUTED_VALUE"""),"Denise Leinenbach")</f>
        <v>Denise Leinenbach</v>
      </c>
      <c r="D1930" s="26" t="str">
        <f>IFERROR(__xludf.DUMMYFUNCTION("""COMPUTED_VALUE"""),"Consumer")</f>
        <v>Consumer</v>
      </c>
      <c r="E1930" s="26" t="str">
        <f>IFERROR(__xludf.DUMMYFUNCTION("""COMPUTED_VALUE"""),"Central")</f>
        <v>Central</v>
      </c>
      <c r="F1930" s="26">
        <f>IFERROR(__xludf.DUMMYFUNCTION("""COMPUTED_VALUE"""),10.92)</f>
        <v>10.92</v>
      </c>
      <c r="G1930" s="26">
        <f>IFERROR(__xludf.DUMMYFUNCTION("""COMPUTED_VALUE"""),6.0)</f>
        <v>6</v>
      </c>
      <c r="H1930" s="26">
        <f>IFERROR(__xludf.DUMMYFUNCTION("""COMPUTED_VALUE"""),4.914)</f>
        <v>4.914</v>
      </c>
    </row>
    <row r="1931">
      <c r="A1931" s="26" t="str">
        <f>IFERROR(__xludf.DUMMYFUNCTION("""COMPUTED_VALUE"""),"US-2015-129637")</f>
        <v>US-2015-129637</v>
      </c>
      <c r="B1931" s="27">
        <f>IFERROR(__xludf.DUMMYFUNCTION("""COMPUTED_VALUE"""),42355.0)</f>
        <v>42355</v>
      </c>
      <c r="C1931" s="26" t="str">
        <f>IFERROR(__xludf.DUMMYFUNCTION("""COMPUTED_VALUE"""),"Mick Crebagga")</f>
        <v>Mick Crebagga</v>
      </c>
      <c r="D1931" s="26" t="str">
        <f>IFERROR(__xludf.DUMMYFUNCTION("""COMPUTED_VALUE"""),"Consumer")</f>
        <v>Consumer</v>
      </c>
      <c r="E1931" s="26" t="str">
        <f>IFERROR(__xludf.DUMMYFUNCTION("""COMPUTED_VALUE"""),"Central")</f>
        <v>Central</v>
      </c>
      <c r="F1931" s="26">
        <f>IFERROR(__xludf.DUMMYFUNCTION("""COMPUTED_VALUE"""),180.016)</f>
        <v>180.016</v>
      </c>
      <c r="G1931" s="26">
        <f>IFERROR(__xludf.DUMMYFUNCTION("""COMPUTED_VALUE"""),1.0)</f>
        <v>1</v>
      </c>
      <c r="H1931" s="26">
        <f>IFERROR(__xludf.DUMMYFUNCTION("""COMPUTED_VALUE"""),-15.7514)</f>
        <v>-15.7514</v>
      </c>
    </row>
    <row r="1932">
      <c r="A1932" s="26" t="str">
        <f>IFERROR(__xludf.DUMMYFUNCTION("""COMPUTED_VALUE"""),"CA-2015-145394")</f>
        <v>CA-2015-145394</v>
      </c>
      <c r="B1932" s="27">
        <f>IFERROR(__xludf.DUMMYFUNCTION("""COMPUTED_VALUE"""),42324.0)</f>
        <v>42324</v>
      </c>
      <c r="C1932" s="26" t="str">
        <f>IFERROR(__xludf.DUMMYFUNCTION("""COMPUTED_VALUE"""),"Matt Connell")</f>
        <v>Matt Connell</v>
      </c>
      <c r="D1932" s="26" t="str">
        <f>IFERROR(__xludf.DUMMYFUNCTION("""COMPUTED_VALUE"""),"Corporate")</f>
        <v>Corporate</v>
      </c>
      <c r="E1932" s="26" t="str">
        <f>IFERROR(__xludf.DUMMYFUNCTION("""COMPUTED_VALUE"""),"Central")</f>
        <v>Central</v>
      </c>
      <c r="F1932" s="26">
        <f>IFERROR(__xludf.DUMMYFUNCTION("""COMPUTED_VALUE"""),21.488)</f>
        <v>21.488</v>
      </c>
      <c r="G1932" s="26">
        <f>IFERROR(__xludf.DUMMYFUNCTION("""COMPUTED_VALUE"""),2.0)</f>
        <v>2</v>
      </c>
      <c r="H1932" s="26">
        <f>IFERROR(__xludf.DUMMYFUNCTION("""COMPUTED_VALUE"""),1.6116)</f>
        <v>1.6116</v>
      </c>
    </row>
    <row r="1933">
      <c r="A1933" s="26" t="str">
        <f>IFERROR(__xludf.DUMMYFUNCTION("""COMPUTED_VALUE"""),"CA-2015-168809")</f>
        <v>CA-2015-168809</v>
      </c>
      <c r="B1933" s="27">
        <f>IFERROR(__xludf.DUMMYFUNCTION("""COMPUTED_VALUE"""),42241.0)</f>
        <v>42241</v>
      </c>
      <c r="C1933" s="26" t="str">
        <f>IFERROR(__xludf.DUMMYFUNCTION("""COMPUTED_VALUE"""),"Mick Crebagga")</f>
        <v>Mick Crebagga</v>
      </c>
      <c r="D1933" s="26" t="str">
        <f>IFERROR(__xludf.DUMMYFUNCTION("""COMPUTED_VALUE"""),"Consumer")</f>
        <v>Consumer</v>
      </c>
      <c r="E1933" s="26" t="str">
        <f>IFERROR(__xludf.DUMMYFUNCTION("""COMPUTED_VALUE"""),"Central")</f>
        <v>Central</v>
      </c>
      <c r="F1933" s="26">
        <f>IFERROR(__xludf.DUMMYFUNCTION("""COMPUTED_VALUE"""),20.104)</f>
        <v>20.104</v>
      </c>
      <c r="G1933" s="26">
        <f>IFERROR(__xludf.DUMMYFUNCTION("""COMPUTED_VALUE"""),2.0)</f>
        <v>2</v>
      </c>
      <c r="H1933" s="26">
        <f>IFERROR(__xludf.DUMMYFUNCTION("""COMPUTED_VALUE"""),-16.5858)</f>
        <v>-16.5858</v>
      </c>
    </row>
    <row r="1934">
      <c r="A1934" s="26" t="str">
        <f>IFERROR(__xludf.DUMMYFUNCTION("""COMPUTED_VALUE"""),"CA-2015-128125")</f>
        <v>CA-2015-128125</v>
      </c>
      <c r="B1934" s="27">
        <f>IFERROR(__xludf.DUMMYFUNCTION("""COMPUTED_VALUE"""),42094.0)</f>
        <v>42094</v>
      </c>
      <c r="C1934" s="26" t="str">
        <f>IFERROR(__xludf.DUMMYFUNCTION("""COMPUTED_VALUE"""),"Ed Braxton")</f>
        <v>Ed Braxton</v>
      </c>
      <c r="D1934" s="26" t="str">
        <f>IFERROR(__xludf.DUMMYFUNCTION("""COMPUTED_VALUE"""),"Corporate")</f>
        <v>Corporate</v>
      </c>
      <c r="E1934" s="26" t="str">
        <f>IFERROR(__xludf.DUMMYFUNCTION("""COMPUTED_VALUE"""),"Central")</f>
        <v>Central</v>
      </c>
      <c r="F1934" s="26">
        <f>IFERROR(__xludf.DUMMYFUNCTION("""COMPUTED_VALUE"""),98.376)</f>
        <v>98.376</v>
      </c>
      <c r="G1934" s="26">
        <f>IFERROR(__xludf.DUMMYFUNCTION("""COMPUTED_VALUE"""),3.0)</f>
        <v>3</v>
      </c>
      <c r="H1934" s="26">
        <f>IFERROR(__xludf.DUMMYFUNCTION("""COMPUTED_VALUE"""),35.6613)</f>
        <v>35.6613</v>
      </c>
    </row>
    <row r="1935">
      <c r="A1935" s="26" t="str">
        <f>IFERROR(__xludf.DUMMYFUNCTION("""COMPUTED_VALUE"""),"CA-2015-112522")</f>
        <v>CA-2015-112522</v>
      </c>
      <c r="B1935" s="27">
        <f>IFERROR(__xludf.DUMMYFUNCTION("""COMPUTED_VALUE"""),42287.0)</f>
        <v>42287</v>
      </c>
      <c r="C1935" s="26" t="str">
        <f>IFERROR(__xludf.DUMMYFUNCTION("""COMPUTED_VALUE"""),"David Philippe")</f>
        <v>David Philippe</v>
      </c>
      <c r="D1935" s="26" t="str">
        <f>IFERROR(__xludf.DUMMYFUNCTION("""COMPUTED_VALUE"""),"Consumer")</f>
        <v>Consumer</v>
      </c>
      <c r="E1935" s="26" t="str">
        <f>IFERROR(__xludf.DUMMYFUNCTION("""COMPUTED_VALUE"""),"Central")</f>
        <v>Central</v>
      </c>
      <c r="F1935" s="26">
        <f>IFERROR(__xludf.DUMMYFUNCTION("""COMPUTED_VALUE"""),8.016)</f>
        <v>8.016</v>
      </c>
      <c r="G1935" s="26">
        <f>IFERROR(__xludf.DUMMYFUNCTION("""COMPUTED_VALUE"""),3.0)</f>
        <v>3</v>
      </c>
      <c r="H1935" s="26">
        <f>IFERROR(__xludf.DUMMYFUNCTION("""COMPUTED_VALUE"""),1.002)</f>
        <v>1.002</v>
      </c>
    </row>
    <row r="1936">
      <c r="A1936" s="26" t="str">
        <f>IFERROR(__xludf.DUMMYFUNCTION("""COMPUTED_VALUE"""),"US-2015-123918")</f>
        <v>US-2015-123918</v>
      </c>
      <c r="B1936" s="27">
        <f>IFERROR(__xludf.DUMMYFUNCTION("""COMPUTED_VALUE"""),42292.0)</f>
        <v>42292</v>
      </c>
      <c r="C1936" s="26" t="str">
        <f>IFERROR(__xludf.DUMMYFUNCTION("""COMPUTED_VALUE"""),"Claire Gute")</f>
        <v>Claire Gute</v>
      </c>
      <c r="D1936" s="26" t="str">
        <f>IFERROR(__xludf.DUMMYFUNCTION("""COMPUTED_VALUE"""),"Consumer")</f>
        <v>Consumer</v>
      </c>
      <c r="E1936" s="26" t="str">
        <f>IFERROR(__xludf.DUMMYFUNCTION("""COMPUTED_VALUE"""),"Central")</f>
        <v>Central</v>
      </c>
      <c r="F1936" s="26">
        <f>IFERROR(__xludf.DUMMYFUNCTION("""COMPUTED_VALUE"""),131.376)</f>
        <v>131.376</v>
      </c>
      <c r="G1936" s="26">
        <f>IFERROR(__xludf.DUMMYFUNCTION("""COMPUTED_VALUE"""),6.0)</f>
        <v>6</v>
      </c>
      <c r="H1936" s="26">
        <f>IFERROR(__xludf.DUMMYFUNCTION("""COMPUTED_VALUE"""),-95.2476)</f>
        <v>-95.2476</v>
      </c>
    </row>
    <row r="1937">
      <c r="A1937" s="26" t="str">
        <f>IFERROR(__xludf.DUMMYFUNCTION("""COMPUTED_VALUE"""),"CA-2015-120677")</f>
        <v>CA-2015-120677</v>
      </c>
      <c r="B1937" s="27">
        <f>IFERROR(__xludf.DUMMYFUNCTION("""COMPUTED_VALUE"""),42155.0)</f>
        <v>42155</v>
      </c>
      <c r="C1937" s="26" t="str">
        <f>IFERROR(__xludf.DUMMYFUNCTION("""COMPUTED_VALUE"""),"Bill Donatelli")</f>
        <v>Bill Donatelli</v>
      </c>
      <c r="D1937" s="26" t="str">
        <f>IFERROR(__xludf.DUMMYFUNCTION("""COMPUTED_VALUE"""),"Consumer")</f>
        <v>Consumer</v>
      </c>
      <c r="E1937" s="26" t="str">
        <f>IFERROR(__xludf.DUMMYFUNCTION("""COMPUTED_VALUE"""),"Central")</f>
        <v>Central</v>
      </c>
      <c r="F1937" s="26">
        <f>IFERROR(__xludf.DUMMYFUNCTION("""COMPUTED_VALUE"""),2567.84)</f>
        <v>2567.84</v>
      </c>
      <c r="G1937" s="26">
        <f>IFERROR(__xludf.DUMMYFUNCTION("""COMPUTED_VALUE"""),8.0)</f>
        <v>8</v>
      </c>
      <c r="H1937" s="26">
        <f>IFERROR(__xludf.DUMMYFUNCTION("""COMPUTED_VALUE"""),770.352)</f>
        <v>770.352</v>
      </c>
    </row>
    <row r="1938">
      <c r="A1938" s="26" t="str">
        <f>IFERROR(__xludf.DUMMYFUNCTION("""COMPUTED_VALUE"""),"US-2015-165512")</f>
        <v>US-2015-165512</v>
      </c>
      <c r="B1938" s="27">
        <f>IFERROR(__xludf.DUMMYFUNCTION("""COMPUTED_VALUE"""),42148.0)</f>
        <v>42148</v>
      </c>
      <c r="C1938" s="26" t="str">
        <f>IFERROR(__xludf.DUMMYFUNCTION("""COMPUTED_VALUE"""),"Vivek Sundaresam")</f>
        <v>Vivek Sundaresam</v>
      </c>
      <c r="D1938" s="26" t="str">
        <f>IFERROR(__xludf.DUMMYFUNCTION("""COMPUTED_VALUE"""),"Consumer")</f>
        <v>Consumer</v>
      </c>
      <c r="E1938" s="26" t="str">
        <f>IFERROR(__xludf.DUMMYFUNCTION("""COMPUTED_VALUE"""),"Central")</f>
        <v>Central</v>
      </c>
      <c r="F1938" s="26">
        <f>IFERROR(__xludf.DUMMYFUNCTION("""COMPUTED_VALUE"""),602.651)</f>
        <v>602.651</v>
      </c>
      <c r="G1938" s="26">
        <f>IFERROR(__xludf.DUMMYFUNCTION("""COMPUTED_VALUE"""),7.0)</f>
        <v>7</v>
      </c>
      <c r="H1938" s="26">
        <f>IFERROR(__xludf.DUMMYFUNCTION("""COMPUTED_VALUE"""),-163.5767)</f>
        <v>-163.5767</v>
      </c>
    </row>
    <row r="1939">
      <c r="A1939" s="26" t="str">
        <f>IFERROR(__xludf.DUMMYFUNCTION("""COMPUTED_VALUE"""),"CA-2015-130365")</f>
        <v>CA-2015-130365</v>
      </c>
      <c r="B1939" s="27">
        <f>IFERROR(__xludf.DUMMYFUNCTION("""COMPUTED_VALUE"""),42119.0)</f>
        <v>42119</v>
      </c>
      <c r="C1939" s="26" t="str">
        <f>IFERROR(__xludf.DUMMYFUNCTION("""COMPUTED_VALUE"""),"Zuschuss Carroll")</f>
        <v>Zuschuss Carroll</v>
      </c>
      <c r="D1939" s="26" t="str">
        <f>IFERROR(__xludf.DUMMYFUNCTION("""COMPUTED_VALUE"""),"Consumer")</f>
        <v>Consumer</v>
      </c>
      <c r="E1939" s="26" t="str">
        <f>IFERROR(__xludf.DUMMYFUNCTION("""COMPUTED_VALUE"""),"Central")</f>
        <v>Central</v>
      </c>
      <c r="F1939" s="26">
        <f>IFERROR(__xludf.DUMMYFUNCTION("""COMPUTED_VALUE"""),221.024)</f>
        <v>221.024</v>
      </c>
      <c r="G1939" s="26">
        <f>IFERROR(__xludf.DUMMYFUNCTION("""COMPUTED_VALUE"""),2.0)</f>
        <v>2</v>
      </c>
      <c r="H1939" s="26">
        <f>IFERROR(__xludf.DUMMYFUNCTION("""COMPUTED_VALUE"""),-55.256)</f>
        <v>-55.256</v>
      </c>
    </row>
    <row r="1940">
      <c r="A1940" s="26" t="str">
        <f>IFERROR(__xludf.DUMMYFUNCTION("""COMPUTED_VALUE"""),"CA-2015-161767")</f>
        <v>CA-2015-161767</v>
      </c>
      <c r="B1940" s="27">
        <f>IFERROR(__xludf.DUMMYFUNCTION("""COMPUTED_VALUE"""),42328.0)</f>
        <v>42328</v>
      </c>
      <c r="C1940" s="26" t="str">
        <f>IFERROR(__xludf.DUMMYFUNCTION("""COMPUTED_VALUE"""),"Grace Kelly")</f>
        <v>Grace Kelly</v>
      </c>
      <c r="D1940" s="26" t="str">
        <f>IFERROR(__xludf.DUMMYFUNCTION("""COMPUTED_VALUE"""),"Corporate")</f>
        <v>Corporate</v>
      </c>
      <c r="E1940" s="26" t="str">
        <f>IFERROR(__xludf.DUMMYFUNCTION("""COMPUTED_VALUE"""),"Central")</f>
        <v>Central</v>
      </c>
      <c r="F1940" s="26">
        <f>IFERROR(__xludf.DUMMYFUNCTION("""COMPUTED_VALUE"""),479.988)</f>
        <v>479.988</v>
      </c>
      <c r="G1940" s="26">
        <f>IFERROR(__xludf.DUMMYFUNCTION("""COMPUTED_VALUE"""),2.0)</f>
        <v>2</v>
      </c>
      <c r="H1940" s="26">
        <f>IFERROR(__xludf.DUMMYFUNCTION("""COMPUTED_VALUE"""),55.9986)</f>
        <v>55.9986</v>
      </c>
    </row>
    <row r="1941">
      <c r="A1941" s="26" t="str">
        <f>IFERROR(__xludf.DUMMYFUNCTION("""COMPUTED_VALUE"""),"CA-2015-104871")</f>
        <v>CA-2015-104871</v>
      </c>
      <c r="B1941" s="27">
        <f>IFERROR(__xludf.DUMMYFUNCTION("""COMPUTED_VALUE"""),42093.0)</f>
        <v>42093</v>
      </c>
      <c r="C1941" s="26" t="str">
        <f>IFERROR(__xludf.DUMMYFUNCTION("""COMPUTED_VALUE"""),"Daniel Raglin")</f>
        <v>Daniel Raglin</v>
      </c>
      <c r="D1941" s="26" t="str">
        <f>IFERROR(__xludf.DUMMYFUNCTION("""COMPUTED_VALUE"""),"Home Office")</f>
        <v>Home Office</v>
      </c>
      <c r="E1941" s="26" t="str">
        <f>IFERROR(__xludf.DUMMYFUNCTION("""COMPUTED_VALUE"""),"Central")</f>
        <v>Central</v>
      </c>
      <c r="F1941" s="26">
        <f>IFERROR(__xludf.DUMMYFUNCTION("""COMPUTED_VALUE"""),366.744)</f>
        <v>366.744</v>
      </c>
      <c r="G1941" s="26">
        <f>IFERROR(__xludf.DUMMYFUNCTION("""COMPUTED_VALUE"""),4.0)</f>
        <v>4</v>
      </c>
      <c r="H1941" s="26">
        <f>IFERROR(__xludf.DUMMYFUNCTION("""COMPUTED_VALUE"""),-110.0232)</f>
        <v>-110.0232</v>
      </c>
    </row>
    <row r="1942">
      <c r="A1942" s="26" t="str">
        <f>IFERROR(__xludf.DUMMYFUNCTION("""COMPUTED_VALUE"""),"US-2015-153374")</f>
        <v>US-2015-153374</v>
      </c>
      <c r="B1942" s="27">
        <f>IFERROR(__xludf.DUMMYFUNCTION("""COMPUTED_VALUE"""),42044.0)</f>
        <v>42044</v>
      </c>
      <c r="C1942" s="26" t="str">
        <f>IFERROR(__xludf.DUMMYFUNCTION("""COMPUTED_VALUE"""),"Jill Fjeld")</f>
        <v>Jill Fjeld</v>
      </c>
      <c r="D1942" s="26" t="str">
        <f>IFERROR(__xludf.DUMMYFUNCTION("""COMPUTED_VALUE"""),"Consumer")</f>
        <v>Consumer</v>
      </c>
      <c r="E1942" s="26" t="str">
        <f>IFERROR(__xludf.DUMMYFUNCTION("""COMPUTED_VALUE"""),"Central")</f>
        <v>Central</v>
      </c>
      <c r="F1942" s="26">
        <f>IFERROR(__xludf.DUMMYFUNCTION("""COMPUTED_VALUE"""),479.952)</f>
        <v>479.952</v>
      </c>
      <c r="G1942" s="26">
        <f>IFERROR(__xludf.DUMMYFUNCTION("""COMPUTED_VALUE"""),6.0)</f>
        <v>6</v>
      </c>
      <c r="H1942" s="26">
        <f>IFERROR(__xludf.DUMMYFUNCTION("""COMPUTED_VALUE"""),89.991)</f>
        <v>89.991</v>
      </c>
    </row>
    <row r="1943">
      <c r="A1943" s="26" t="str">
        <f>IFERROR(__xludf.DUMMYFUNCTION("""COMPUTED_VALUE"""),"CA-2015-166583")</f>
        <v>CA-2015-166583</v>
      </c>
      <c r="B1943" s="27">
        <f>IFERROR(__xludf.DUMMYFUNCTION("""COMPUTED_VALUE"""),42181.0)</f>
        <v>42181</v>
      </c>
      <c r="C1943" s="26" t="str">
        <f>IFERROR(__xludf.DUMMYFUNCTION("""COMPUTED_VALUE"""),"Valerie Dominguez")</f>
        <v>Valerie Dominguez</v>
      </c>
      <c r="D1943" s="26" t="str">
        <f>IFERROR(__xludf.DUMMYFUNCTION("""COMPUTED_VALUE"""),"Consumer")</f>
        <v>Consumer</v>
      </c>
      <c r="E1943" s="26" t="str">
        <f>IFERROR(__xludf.DUMMYFUNCTION("""COMPUTED_VALUE"""),"Central")</f>
        <v>Central</v>
      </c>
      <c r="F1943" s="26">
        <f>IFERROR(__xludf.DUMMYFUNCTION("""COMPUTED_VALUE"""),971.88)</f>
        <v>971.88</v>
      </c>
      <c r="G1943" s="26">
        <f>IFERROR(__xludf.DUMMYFUNCTION("""COMPUTED_VALUE"""),3.0)</f>
        <v>3</v>
      </c>
      <c r="H1943" s="26">
        <f>IFERROR(__xludf.DUMMYFUNCTION("""COMPUTED_VALUE"""),109.3365)</f>
        <v>109.3365</v>
      </c>
    </row>
    <row r="1944">
      <c r="A1944" s="26" t="str">
        <f>IFERROR(__xludf.DUMMYFUNCTION("""COMPUTED_VALUE"""),"CA-2015-106208")</f>
        <v>CA-2015-106208</v>
      </c>
      <c r="B1944" s="27">
        <f>IFERROR(__xludf.DUMMYFUNCTION("""COMPUTED_VALUE"""),42348.0)</f>
        <v>42348</v>
      </c>
      <c r="C1944" s="26" t="str">
        <f>IFERROR(__xludf.DUMMYFUNCTION("""COMPUTED_VALUE"""),"Julia West")</f>
        <v>Julia West</v>
      </c>
      <c r="D1944" s="26" t="str">
        <f>IFERROR(__xludf.DUMMYFUNCTION("""COMPUTED_VALUE"""),"Consumer")</f>
        <v>Consumer</v>
      </c>
      <c r="E1944" s="26" t="str">
        <f>IFERROR(__xludf.DUMMYFUNCTION("""COMPUTED_VALUE"""),"Central")</f>
        <v>Central</v>
      </c>
      <c r="F1944" s="26">
        <f>IFERROR(__xludf.DUMMYFUNCTION("""COMPUTED_VALUE"""),53.088)</f>
        <v>53.088</v>
      </c>
      <c r="G1944" s="26">
        <f>IFERROR(__xludf.DUMMYFUNCTION("""COMPUTED_VALUE"""),7.0)</f>
        <v>7</v>
      </c>
      <c r="H1944" s="26">
        <f>IFERROR(__xludf.DUMMYFUNCTION("""COMPUTED_VALUE"""),-108.8304)</f>
        <v>-108.8304</v>
      </c>
    </row>
    <row r="1945">
      <c r="A1945" s="26" t="str">
        <f>IFERROR(__xludf.DUMMYFUNCTION("""COMPUTED_VALUE"""),"CA-2015-145835")</f>
        <v>CA-2015-145835</v>
      </c>
      <c r="B1945" s="27">
        <f>IFERROR(__xludf.DUMMYFUNCTION("""COMPUTED_VALUE"""),42137.0)</f>
        <v>42137</v>
      </c>
      <c r="C1945" s="26" t="str">
        <f>IFERROR(__xludf.DUMMYFUNCTION("""COMPUTED_VALUE"""),"Ben Ferrer")</f>
        <v>Ben Ferrer</v>
      </c>
      <c r="D1945" s="26" t="str">
        <f>IFERROR(__xludf.DUMMYFUNCTION("""COMPUTED_VALUE"""),"Home Office")</f>
        <v>Home Office</v>
      </c>
      <c r="E1945" s="26" t="str">
        <f>IFERROR(__xludf.DUMMYFUNCTION("""COMPUTED_VALUE"""),"Central")</f>
        <v>Central</v>
      </c>
      <c r="F1945" s="26">
        <f>IFERROR(__xludf.DUMMYFUNCTION("""COMPUTED_VALUE"""),222.384)</f>
        <v>222.384</v>
      </c>
      <c r="G1945" s="26">
        <f>IFERROR(__xludf.DUMMYFUNCTION("""COMPUTED_VALUE"""),2.0)</f>
        <v>2</v>
      </c>
      <c r="H1945" s="26">
        <f>IFERROR(__xludf.DUMMYFUNCTION("""COMPUTED_VALUE"""),16.6788)</f>
        <v>16.6788</v>
      </c>
    </row>
    <row r="1946">
      <c r="A1946" s="26" t="str">
        <f>IFERROR(__xludf.DUMMYFUNCTION("""COMPUTED_VALUE"""),"CA-2015-103072")</f>
        <v>CA-2015-103072</v>
      </c>
      <c r="B1946" s="27">
        <f>IFERROR(__xludf.DUMMYFUNCTION("""COMPUTED_VALUE"""),42274.0)</f>
        <v>42274</v>
      </c>
      <c r="C1946" s="26" t="str">
        <f>IFERROR(__xludf.DUMMYFUNCTION("""COMPUTED_VALUE"""),"Helen Wasserman")</f>
        <v>Helen Wasserman</v>
      </c>
      <c r="D1946" s="26" t="str">
        <f>IFERROR(__xludf.DUMMYFUNCTION("""COMPUTED_VALUE"""),"Corporate")</f>
        <v>Corporate</v>
      </c>
      <c r="E1946" s="26" t="str">
        <f>IFERROR(__xludf.DUMMYFUNCTION("""COMPUTED_VALUE"""),"Central")</f>
        <v>Central</v>
      </c>
      <c r="F1946" s="26">
        <f>IFERROR(__xludf.DUMMYFUNCTION("""COMPUTED_VALUE"""),16.4)</f>
        <v>16.4</v>
      </c>
      <c r="G1946" s="26">
        <f>IFERROR(__xludf.DUMMYFUNCTION("""COMPUTED_VALUE"""),5.0)</f>
        <v>5</v>
      </c>
      <c r="H1946" s="26">
        <f>IFERROR(__xludf.DUMMYFUNCTION("""COMPUTED_VALUE"""),4.756)</f>
        <v>4.756</v>
      </c>
    </row>
    <row r="1947">
      <c r="A1947" s="26" t="str">
        <f>IFERROR(__xludf.DUMMYFUNCTION("""COMPUTED_VALUE"""),"CA-2015-121699")</f>
        <v>CA-2015-121699</v>
      </c>
      <c r="B1947" s="27">
        <f>IFERROR(__xludf.DUMMYFUNCTION("""COMPUTED_VALUE"""),42226.0)</f>
        <v>42226</v>
      </c>
      <c r="C1947" s="26" t="str">
        <f>IFERROR(__xludf.DUMMYFUNCTION("""COMPUTED_VALUE"""),"Bill Donatelli")</f>
        <v>Bill Donatelli</v>
      </c>
      <c r="D1947" s="26" t="str">
        <f>IFERROR(__xludf.DUMMYFUNCTION("""COMPUTED_VALUE"""),"Consumer")</f>
        <v>Consumer</v>
      </c>
      <c r="E1947" s="26" t="str">
        <f>IFERROR(__xludf.DUMMYFUNCTION("""COMPUTED_VALUE"""),"Central")</f>
        <v>Central</v>
      </c>
      <c r="F1947" s="26">
        <f>IFERROR(__xludf.DUMMYFUNCTION("""COMPUTED_VALUE"""),64.75)</f>
        <v>64.75</v>
      </c>
      <c r="G1947" s="26">
        <f>IFERROR(__xludf.DUMMYFUNCTION("""COMPUTED_VALUE"""),5.0)</f>
        <v>5</v>
      </c>
      <c r="H1947" s="26">
        <f>IFERROR(__xludf.DUMMYFUNCTION("""COMPUTED_VALUE"""),29.1375)</f>
        <v>29.1375</v>
      </c>
    </row>
    <row r="1948">
      <c r="A1948" s="26" t="str">
        <f>IFERROR(__xludf.DUMMYFUNCTION("""COMPUTED_VALUE"""),"CA-2015-139780")</f>
        <v>CA-2015-139780</v>
      </c>
      <c r="B1948" s="27">
        <f>IFERROR(__xludf.DUMMYFUNCTION("""COMPUTED_VALUE"""),42369.0)</f>
        <v>42369</v>
      </c>
      <c r="C1948" s="26" t="str">
        <f>IFERROR(__xludf.DUMMYFUNCTION("""COMPUTED_VALUE"""),"Anna Häberlin")</f>
        <v>Anna Häberlin</v>
      </c>
      <c r="D1948" s="26" t="str">
        <f>IFERROR(__xludf.DUMMYFUNCTION("""COMPUTED_VALUE"""),"Corporate")</f>
        <v>Corporate</v>
      </c>
      <c r="E1948" s="26" t="str">
        <f>IFERROR(__xludf.DUMMYFUNCTION("""COMPUTED_VALUE"""),"Central")</f>
        <v>Central</v>
      </c>
      <c r="F1948" s="26">
        <f>IFERROR(__xludf.DUMMYFUNCTION("""COMPUTED_VALUE"""),116.4)</f>
        <v>116.4</v>
      </c>
      <c r="G1948" s="26">
        <f>IFERROR(__xludf.DUMMYFUNCTION("""COMPUTED_VALUE"""),8.0)</f>
        <v>8</v>
      </c>
      <c r="H1948" s="26">
        <f>IFERROR(__xludf.DUMMYFUNCTION("""COMPUTED_VALUE"""),52.38)</f>
        <v>52.38</v>
      </c>
    </row>
    <row r="1949">
      <c r="A1949" s="26" t="str">
        <f>IFERROR(__xludf.DUMMYFUNCTION("""COMPUTED_VALUE"""),"CA-2015-139738")</f>
        <v>CA-2015-139738</v>
      </c>
      <c r="B1949" s="27">
        <f>IFERROR(__xludf.DUMMYFUNCTION("""COMPUTED_VALUE"""),42272.0)</f>
        <v>42272</v>
      </c>
      <c r="C1949" s="26" t="str">
        <f>IFERROR(__xludf.DUMMYFUNCTION("""COMPUTED_VALUE"""),"Dana Kaydos")</f>
        <v>Dana Kaydos</v>
      </c>
      <c r="D1949" s="26" t="str">
        <f>IFERROR(__xludf.DUMMYFUNCTION("""COMPUTED_VALUE"""),"Consumer")</f>
        <v>Consumer</v>
      </c>
      <c r="E1949" s="26" t="str">
        <f>IFERROR(__xludf.DUMMYFUNCTION("""COMPUTED_VALUE"""),"Central")</f>
        <v>Central</v>
      </c>
      <c r="F1949" s="26">
        <f>IFERROR(__xludf.DUMMYFUNCTION("""COMPUTED_VALUE"""),128.744)</f>
        <v>128.744</v>
      </c>
      <c r="G1949" s="26">
        <f>IFERROR(__xludf.DUMMYFUNCTION("""COMPUTED_VALUE"""),7.0)</f>
        <v>7</v>
      </c>
      <c r="H1949" s="26">
        <f>IFERROR(__xludf.DUMMYFUNCTION("""COMPUTED_VALUE"""),12.8744)</f>
        <v>12.8744</v>
      </c>
    </row>
    <row r="1950">
      <c r="A1950" s="26" t="str">
        <f>IFERROR(__xludf.DUMMYFUNCTION("""COMPUTED_VALUE"""),"US-2015-130491")</f>
        <v>US-2015-130491</v>
      </c>
      <c r="B1950" s="27">
        <f>IFERROR(__xludf.DUMMYFUNCTION("""COMPUTED_VALUE"""),42043.0)</f>
        <v>42043</v>
      </c>
      <c r="C1950" s="26" t="str">
        <f>IFERROR(__xludf.DUMMYFUNCTION("""COMPUTED_VALUE"""),"Brosina Hoffman")</f>
        <v>Brosina Hoffman</v>
      </c>
      <c r="D1950" s="26" t="str">
        <f>IFERROR(__xludf.DUMMYFUNCTION("""COMPUTED_VALUE"""),"Consumer")</f>
        <v>Consumer</v>
      </c>
      <c r="E1950" s="26" t="str">
        <f>IFERROR(__xludf.DUMMYFUNCTION("""COMPUTED_VALUE"""),"Central")</f>
        <v>Central</v>
      </c>
      <c r="F1950" s="26">
        <f>IFERROR(__xludf.DUMMYFUNCTION("""COMPUTED_VALUE"""),9.54)</f>
        <v>9.54</v>
      </c>
      <c r="G1950" s="26">
        <f>IFERROR(__xludf.DUMMYFUNCTION("""COMPUTED_VALUE"""),2.0)</f>
        <v>2</v>
      </c>
      <c r="H1950" s="26">
        <f>IFERROR(__xludf.DUMMYFUNCTION("""COMPUTED_VALUE"""),4.293)</f>
        <v>4.293</v>
      </c>
    </row>
    <row r="1951">
      <c r="A1951" s="26" t="str">
        <f>IFERROR(__xludf.DUMMYFUNCTION("""COMPUTED_VALUE"""),"CA-2015-136805")</f>
        <v>CA-2015-136805</v>
      </c>
      <c r="B1951" s="27">
        <f>IFERROR(__xludf.DUMMYFUNCTION("""COMPUTED_VALUE"""),42147.0)</f>
        <v>42147</v>
      </c>
      <c r="C1951" s="26" t="str">
        <f>IFERROR(__xludf.DUMMYFUNCTION("""COMPUTED_VALUE"""),"Nathan Mautz")</f>
        <v>Nathan Mautz</v>
      </c>
      <c r="D1951" s="26" t="str">
        <f>IFERROR(__xludf.DUMMYFUNCTION("""COMPUTED_VALUE"""),"Home Office")</f>
        <v>Home Office</v>
      </c>
      <c r="E1951" s="26" t="str">
        <f>IFERROR(__xludf.DUMMYFUNCTION("""COMPUTED_VALUE"""),"Central")</f>
        <v>Central</v>
      </c>
      <c r="F1951" s="26">
        <f>IFERROR(__xludf.DUMMYFUNCTION("""COMPUTED_VALUE"""),850.5)</f>
        <v>850.5</v>
      </c>
      <c r="G1951" s="26">
        <f>IFERROR(__xludf.DUMMYFUNCTION("""COMPUTED_VALUE"""),5.0)</f>
        <v>5</v>
      </c>
      <c r="H1951" s="26">
        <f>IFERROR(__xludf.DUMMYFUNCTION("""COMPUTED_VALUE"""),245.7)</f>
        <v>245.7</v>
      </c>
    </row>
    <row r="1952">
      <c r="A1952" s="26" t="str">
        <f>IFERROR(__xludf.DUMMYFUNCTION("""COMPUTED_VALUE"""),"CA-2015-120782")</f>
        <v>CA-2015-120782</v>
      </c>
      <c r="B1952" s="27">
        <f>IFERROR(__xludf.DUMMYFUNCTION("""COMPUTED_VALUE"""),42122.0)</f>
        <v>42122</v>
      </c>
      <c r="C1952" s="26" t="str">
        <f>IFERROR(__xludf.DUMMYFUNCTION("""COMPUTED_VALUE"""),"Shirley Daniels")</f>
        <v>Shirley Daniels</v>
      </c>
      <c r="D1952" s="26" t="str">
        <f>IFERROR(__xludf.DUMMYFUNCTION("""COMPUTED_VALUE"""),"Home Office")</f>
        <v>Home Office</v>
      </c>
      <c r="E1952" s="26" t="str">
        <f>IFERROR(__xludf.DUMMYFUNCTION("""COMPUTED_VALUE"""),"Central")</f>
        <v>Central</v>
      </c>
      <c r="F1952" s="26">
        <f>IFERROR(__xludf.DUMMYFUNCTION("""COMPUTED_VALUE"""),186.732)</f>
        <v>186.732</v>
      </c>
      <c r="G1952" s="26">
        <f>IFERROR(__xludf.DUMMYFUNCTION("""COMPUTED_VALUE"""),1.0)</f>
        <v>1</v>
      </c>
      <c r="H1952" s="26">
        <f>IFERROR(__xludf.DUMMYFUNCTION("""COMPUTED_VALUE"""),41.496)</f>
        <v>41.496</v>
      </c>
    </row>
    <row r="1953">
      <c r="A1953" s="26" t="str">
        <f>IFERROR(__xludf.DUMMYFUNCTION("""COMPUTED_VALUE"""),"CA-2015-139374")</f>
        <v>CA-2015-139374</v>
      </c>
      <c r="B1953" s="27">
        <f>IFERROR(__xludf.DUMMYFUNCTION("""COMPUTED_VALUE"""),42257.0)</f>
        <v>42257</v>
      </c>
      <c r="C1953" s="26" t="str">
        <f>IFERROR(__xludf.DUMMYFUNCTION("""COMPUTED_VALUE"""),"Alex Russell")</f>
        <v>Alex Russell</v>
      </c>
      <c r="D1953" s="26" t="str">
        <f>IFERROR(__xludf.DUMMYFUNCTION("""COMPUTED_VALUE"""),"Corporate")</f>
        <v>Corporate</v>
      </c>
      <c r="E1953" s="26" t="str">
        <f>IFERROR(__xludf.DUMMYFUNCTION("""COMPUTED_VALUE"""),"Central")</f>
        <v>Central</v>
      </c>
      <c r="F1953" s="26">
        <f>IFERROR(__xludf.DUMMYFUNCTION("""COMPUTED_VALUE"""),179.886)</f>
        <v>179.886</v>
      </c>
      <c r="G1953" s="26">
        <f>IFERROR(__xludf.DUMMYFUNCTION("""COMPUTED_VALUE"""),1.0)</f>
        <v>1</v>
      </c>
      <c r="H1953" s="26">
        <f>IFERROR(__xludf.DUMMYFUNCTION("""COMPUTED_VALUE"""),-2.5698)</f>
        <v>-2.5698</v>
      </c>
    </row>
    <row r="1954">
      <c r="A1954" s="26" t="str">
        <f>IFERROR(__xludf.DUMMYFUNCTION("""COMPUTED_VALUE"""),"CA-2015-109113")</f>
        <v>CA-2015-109113</v>
      </c>
      <c r="B1954" s="27">
        <f>IFERROR(__xludf.DUMMYFUNCTION("""COMPUTED_VALUE"""),42357.0)</f>
        <v>42357</v>
      </c>
      <c r="C1954" s="26" t="str">
        <f>IFERROR(__xludf.DUMMYFUNCTION("""COMPUTED_VALUE"""),"Eileen Kiefer")</f>
        <v>Eileen Kiefer</v>
      </c>
      <c r="D1954" s="26" t="str">
        <f>IFERROR(__xludf.DUMMYFUNCTION("""COMPUTED_VALUE"""),"Home Office")</f>
        <v>Home Office</v>
      </c>
      <c r="E1954" s="26" t="str">
        <f>IFERROR(__xludf.DUMMYFUNCTION("""COMPUTED_VALUE"""),"Central")</f>
        <v>Central</v>
      </c>
      <c r="F1954" s="26">
        <f>IFERROR(__xludf.DUMMYFUNCTION("""COMPUTED_VALUE"""),25.488)</f>
        <v>25.488</v>
      </c>
      <c r="G1954" s="26">
        <f>IFERROR(__xludf.DUMMYFUNCTION("""COMPUTED_VALUE"""),2.0)</f>
        <v>2</v>
      </c>
      <c r="H1954" s="26">
        <f>IFERROR(__xludf.DUMMYFUNCTION("""COMPUTED_VALUE"""),4.779)</f>
        <v>4.779</v>
      </c>
    </row>
    <row r="1955">
      <c r="A1955" s="26" t="str">
        <f>IFERROR(__xludf.DUMMYFUNCTION("""COMPUTED_VALUE"""),"CA-2015-132136")</f>
        <v>CA-2015-132136</v>
      </c>
      <c r="B1955" s="27">
        <f>IFERROR(__xludf.DUMMYFUNCTION("""COMPUTED_VALUE"""),42071.0)</f>
        <v>42071</v>
      </c>
      <c r="C1955" s="26" t="str">
        <f>IFERROR(__xludf.DUMMYFUNCTION("""COMPUTED_VALUE"""),"Frank Olsen")</f>
        <v>Frank Olsen</v>
      </c>
      <c r="D1955" s="26" t="str">
        <f>IFERROR(__xludf.DUMMYFUNCTION("""COMPUTED_VALUE"""),"Consumer")</f>
        <v>Consumer</v>
      </c>
      <c r="E1955" s="26" t="str">
        <f>IFERROR(__xludf.DUMMYFUNCTION("""COMPUTED_VALUE"""),"Central")</f>
        <v>Central</v>
      </c>
      <c r="F1955" s="26">
        <f>IFERROR(__xludf.DUMMYFUNCTION("""COMPUTED_VALUE"""),8.568)</f>
        <v>8.568</v>
      </c>
      <c r="G1955" s="26">
        <f>IFERROR(__xludf.DUMMYFUNCTION("""COMPUTED_VALUE"""),3.0)</f>
        <v>3</v>
      </c>
      <c r="H1955" s="26">
        <f>IFERROR(__xludf.DUMMYFUNCTION("""COMPUTED_VALUE"""),-14.5656)</f>
        <v>-14.5656</v>
      </c>
    </row>
    <row r="1956">
      <c r="A1956" s="26" t="str">
        <f>IFERROR(__xludf.DUMMYFUNCTION("""COMPUTED_VALUE"""),"CA-2015-112711")</f>
        <v>CA-2015-112711</v>
      </c>
      <c r="B1956" s="27">
        <f>IFERROR(__xludf.DUMMYFUNCTION("""COMPUTED_VALUE"""),42197.0)</f>
        <v>42197</v>
      </c>
      <c r="C1956" s="26" t="str">
        <f>IFERROR(__xludf.DUMMYFUNCTION("""COMPUTED_VALUE"""),"Fred McMath")</f>
        <v>Fred McMath</v>
      </c>
      <c r="D1956" s="26" t="str">
        <f>IFERROR(__xludf.DUMMYFUNCTION("""COMPUTED_VALUE"""),"Consumer")</f>
        <v>Consumer</v>
      </c>
      <c r="E1956" s="26" t="str">
        <f>IFERROR(__xludf.DUMMYFUNCTION("""COMPUTED_VALUE"""),"Central")</f>
        <v>Central</v>
      </c>
      <c r="F1956" s="26">
        <f>IFERROR(__xludf.DUMMYFUNCTION("""COMPUTED_VALUE"""),307.168)</f>
        <v>307.168</v>
      </c>
      <c r="G1956" s="26">
        <f>IFERROR(__xludf.DUMMYFUNCTION("""COMPUTED_VALUE"""),4.0)</f>
        <v>4</v>
      </c>
      <c r="H1956" s="26">
        <f>IFERROR(__xludf.DUMMYFUNCTION("""COMPUTED_VALUE"""),30.7168)</f>
        <v>30.7168</v>
      </c>
    </row>
    <row r="1957">
      <c r="A1957" s="26" t="str">
        <f>IFERROR(__xludf.DUMMYFUNCTION("""COMPUTED_VALUE"""),"CA-2015-126669")</f>
        <v>CA-2015-126669</v>
      </c>
      <c r="B1957" s="27">
        <f>IFERROR(__xludf.DUMMYFUNCTION("""COMPUTED_VALUE"""),42315.0)</f>
        <v>42315</v>
      </c>
      <c r="C1957" s="26" t="str">
        <f>IFERROR(__xludf.DUMMYFUNCTION("""COMPUTED_VALUE"""),"Doug O'Connell")</f>
        <v>Doug O'Connell</v>
      </c>
      <c r="D1957" s="26" t="str">
        <f>IFERROR(__xludf.DUMMYFUNCTION("""COMPUTED_VALUE"""),"Consumer")</f>
        <v>Consumer</v>
      </c>
      <c r="E1957" s="26" t="str">
        <f>IFERROR(__xludf.DUMMYFUNCTION("""COMPUTED_VALUE"""),"Central")</f>
        <v>Central</v>
      </c>
      <c r="F1957" s="26">
        <f>IFERROR(__xludf.DUMMYFUNCTION("""COMPUTED_VALUE"""),76.64)</f>
        <v>76.64</v>
      </c>
      <c r="G1957" s="26">
        <f>IFERROR(__xludf.DUMMYFUNCTION("""COMPUTED_VALUE"""),2.0)</f>
        <v>2</v>
      </c>
      <c r="H1957" s="26">
        <f>IFERROR(__xludf.DUMMYFUNCTION("""COMPUTED_VALUE"""),26.824)</f>
        <v>26.824</v>
      </c>
    </row>
    <row r="1958">
      <c r="A1958" s="26" t="str">
        <f>IFERROR(__xludf.DUMMYFUNCTION("""COMPUTED_VALUE"""),"US-2015-118766")</f>
        <v>US-2015-118766</v>
      </c>
      <c r="B1958" s="27">
        <f>IFERROR(__xludf.DUMMYFUNCTION("""COMPUTED_VALUE"""),42292.0)</f>
        <v>42292</v>
      </c>
      <c r="C1958" s="26" t="str">
        <f>IFERROR(__xludf.DUMMYFUNCTION("""COMPUTED_VALUE"""),"Lindsay Shagiari")</f>
        <v>Lindsay Shagiari</v>
      </c>
      <c r="D1958" s="26" t="str">
        <f>IFERROR(__xludf.DUMMYFUNCTION("""COMPUTED_VALUE"""),"Home Office")</f>
        <v>Home Office</v>
      </c>
      <c r="E1958" s="26" t="str">
        <f>IFERROR(__xludf.DUMMYFUNCTION("""COMPUTED_VALUE"""),"Central")</f>
        <v>Central</v>
      </c>
      <c r="F1958" s="26">
        <f>IFERROR(__xludf.DUMMYFUNCTION("""COMPUTED_VALUE"""),4.464)</f>
        <v>4.464</v>
      </c>
      <c r="G1958" s="26">
        <f>IFERROR(__xludf.DUMMYFUNCTION("""COMPUTED_VALUE"""),1.0)</f>
        <v>1</v>
      </c>
      <c r="H1958" s="26">
        <f>IFERROR(__xludf.DUMMYFUNCTION("""COMPUTED_VALUE"""),1.674)</f>
        <v>1.674</v>
      </c>
    </row>
    <row r="1959">
      <c r="A1959" s="26" t="str">
        <f>IFERROR(__xludf.DUMMYFUNCTION("""COMPUTED_VALUE"""),"US-2015-151407")</f>
        <v>US-2015-151407</v>
      </c>
      <c r="B1959" s="27">
        <f>IFERROR(__xludf.DUMMYFUNCTION("""COMPUTED_VALUE"""),42316.0)</f>
        <v>42316</v>
      </c>
      <c r="C1959" s="26" t="str">
        <f>IFERROR(__xludf.DUMMYFUNCTION("""COMPUTED_VALUE"""),"Rob Dowd")</f>
        <v>Rob Dowd</v>
      </c>
      <c r="D1959" s="26" t="str">
        <f>IFERROR(__xludf.DUMMYFUNCTION("""COMPUTED_VALUE"""),"Consumer")</f>
        <v>Consumer</v>
      </c>
      <c r="E1959" s="26" t="str">
        <f>IFERROR(__xludf.DUMMYFUNCTION("""COMPUTED_VALUE"""),"Central")</f>
        <v>Central</v>
      </c>
      <c r="F1959" s="26">
        <f>IFERROR(__xludf.DUMMYFUNCTION("""COMPUTED_VALUE"""),263.96)</f>
        <v>263.96</v>
      </c>
      <c r="G1959" s="26">
        <f>IFERROR(__xludf.DUMMYFUNCTION("""COMPUTED_VALUE"""),4.0)</f>
        <v>4</v>
      </c>
      <c r="H1959" s="26">
        <f>IFERROR(__xludf.DUMMYFUNCTION("""COMPUTED_VALUE"""),76.5484)</f>
        <v>76.5484</v>
      </c>
    </row>
    <row r="1960">
      <c r="A1960" s="26" t="str">
        <f>IFERROR(__xludf.DUMMYFUNCTION("""COMPUTED_VALUE"""),"CA-2015-110863")</f>
        <v>CA-2015-110863</v>
      </c>
      <c r="B1960" s="27">
        <f>IFERROR(__xludf.DUMMYFUNCTION("""COMPUTED_VALUE"""),42325.0)</f>
        <v>42325</v>
      </c>
      <c r="C1960" s="26" t="str">
        <f>IFERROR(__xludf.DUMMYFUNCTION("""COMPUTED_VALUE"""),"Anna Andreadi")</f>
        <v>Anna Andreadi</v>
      </c>
      <c r="D1960" s="26" t="str">
        <f>IFERROR(__xludf.DUMMYFUNCTION("""COMPUTED_VALUE"""),"Consumer")</f>
        <v>Consumer</v>
      </c>
      <c r="E1960" s="26" t="str">
        <f>IFERROR(__xludf.DUMMYFUNCTION("""COMPUTED_VALUE"""),"Central")</f>
        <v>Central</v>
      </c>
      <c r="F1960" s="26">
        <f>IFERROR(__xludf.DUMMYFUNCTION("""COMPUTED_VALUE"""),541.24)</f>
        <v>541.24</v>
      </c>
      <c r="G1960" s="26">
        <f>IFERROR(__xludf.DUMMYFUNCTION("""COMPUTED_VALUE"""),4.0)</f>
        <v>4</v>
      </c>
      <c r="H1960" s="26">
        <f>IFERROR(__xludf.DUMMYFUNCTION("""COMPUTED_VALUE"""),5.4124)</f>
        <v>5.4124</v>
      </c>
    </row>
    <row r="1961">
      <c r="A1961" s="26" t="str">
        <f>IFERROR(__xludf.DUMMYFUNCTION("""COMPUTED_VALUE"""),"CA-2015-119690")</f>
        <v>CA-2015-119690</v>
      </c>
      <c r="B1961" s="27">
        <f>IFERROR(__xludf.DUMMYFUNCTION("""COMPUTED_VALUE"""),42180.0)</f>
        <v>42180</v>
      </c>
      <c r="C1961" s="26" t="str">
        <f>IFERROR(__xludf.DUMMYFUNCTION("""COMPUTED_VALUE"""),"Mark Van Huff")</f>
        <v>Mark Van Huff</v>
      </c>
      <c r="D1961" s="26" t="str">
        <f>IFERROR(__xludf.DUMMYFUNCTION("""COMPUTED_VALUE"""),"Consumer")</f>
        <v>Consumer</v>
      </c>
      <c r="E1961" s="26" t="str">
        <f>IFERROR(__xludf.DUMMYFUNCTION("""COMPUTED_VALUE"""),"Central")</f>
        <v>Central</v>
      </c>
      <c r="F1961" s="26">
        <f>IFERROR(__xludf.DUMMYFUNCTION("""COMPUTED_VALUE"""),47.952)</f>
        <v>47.952</v>
      </c>
      <c r="G1961" s="26">
        <f>IFERROR(__xludf.DUMMYFUNCTION("""COMPUTED_VALUE"""),3.0)</f>
        <v>3</v>
      </c>
      <c r="H1961" s="26">
        <f>IFERROR(__xludf.DUMMYFUNCTION("""COMPUTED_VALUE"""),16.1838)</f>
        <v>16.1838</v>
      </c>
    </row>
    <row r="1962">
      <c r="A1962" s="26" t="str">
        <f>IFERROR(__xludf.DUMMYFUNCTION("""COMPUTED_VALUE"""),"CA-2015-137064")</f>
        <v>CA-2015-137064</v>
      </c>
      <c r="B1962" s="27">
        <f>IFERROR(__xludf.DUMMYFUNCTION("""COMPUTED_VALUE"""),42041.0)</f>
        <v>42041</v>
      </c>
      <c r="C1962" s="26" t="str">
        <f>IFERROR(__xludf.DUMMYFUNCTION("""COMPUTED_VALUE"""),"Trudy Schmidt")</f>
        <v>Trudy Schmidt</v>
      </c>
      <c r="D1962" s="26" t="str">
        <f>IFERROR(__xludf.DUMMYFUNCTION("""COMPUTED_VALUE"""),"Consumer")</f>
        <v>Consumer</v>
      </c>
      <c r="E1962" s="26" t="str">
        <f>IFERROR(__xludf.DUMMYFUNCTION("""COMPUTED_VALUE"""),"Central")</f>
        <v>Central</v>
      </c>
      <c r="F1962" s="26">
        <f>IFERROR(__xludf.DUMMYFUNCTION("""COMPUTED_VALUE"""),2.934)</f>
        <v>2.934</v>
      </c>
      <c r="G1962" s="26">
        <f>IFERROR(__xludf.DUMMYFUNCTION("""COMPUTED_VALUE"""),3.0)</f>
        <v>3</v>
      </c>
      <c r="H1962" s="26">
        <f>IFERROR(__xludf.DUMMYFUNCTION("""COMPUTED_VALUE"""),-4.9878)</f>
        <v>-4.9878</v>
      </c>
    </row>
    <row r="1963">
      <c r="A1963" s="26" t="str">
        <f>IFERROR(__xludf.DUMMYFUNCTION("""COMPUTED_VALUE"""),"CA-2015-131352")</f>
        <v>CA-2015-131352</v>
      </c>
      <c r="B1963" s="27">
        <f>IFERROR(__xludf.DUMMYFUNCTION("""COMPUTED_VALUE"""),42285.0)</f>
        <v>42285</v>
      </c>
      <c r="C1963" s="26" t="str">
        <f>IFERROR(__xludf.DUMMYFUNCTION("""COMPUTED_VALUE"""),"Gene Hale")</f>
        <v>Gene Hale</v>
      </c>
      <c r="D1963" s="26" t="str">
        <f>IFERROR(__xludf.DUMMYFUNCTION("""COMPUTED_VALUE"""),"Corporate")</f>
        <v>Corporate</v>
      </c>
      <c r="E1963" s="26" t="str">
        <f>IFERROR(__xludf.DUMMYFUNCTION("""COMPUTED_VALUE"""),"Central")</f>
        <v>Central</v>
      </c>
      <c r="F1963" s="26">
        <f>IFERROR(__xludf.DUMMYFUNCTION("""COMPUTED_VALUE"""),72.78)</f>
        <v>72.78</v>
      </c>
      <c r="G1963" s="26">
        <f>IFERROR(__xludf.DUMMYFUNCTION("""COMPUTED_VALUE"""),3.0)</f>
        <v>3</v>
      </c>
      <c r="H1963" s="26">
        <f>IFERROR(__xludf.DUMMYFUNCTION("""COMPUTED_VALUE"""),-70.9605)</f>
        <v>-70.9605</v>
      </c>
    </row>
    <row r="1964">
      <c r="A1964" s="26" t="str">
        <f>IFERROR(__xludf.DUMMYFUNCTION("""COMPUTED_VALUE"""),"CA-2015-136728")</f>
        <v>CA-2015-136728</v>
      </c>
      <c r="B1964" s="27">
        <f>IFERROR(__xludf.DUMMYFUNCTION("""COMPUTED_VALUE"""),42260.0)</f>
        <v>42260</v>
      </c>
      <c r="C1964" s="26" t="str">
        <f>IFERROR(__xludf.DUMMYFUNCTION("""COMPUTED_VALUE"""),"Arthur Gainer")</f>
        <v>Arthur Gainer</v>
      </c>
      <c r="D1964" s="26" t="str">
        <f>IFERROR(__xludf.DUMMYFUNCTION("""COMPUTED_VALUE"""),"Consumer")</f>
        <v>Consumer</v>
      </c>
      <c r="E1964" s="26" t="str">
        <f>IFERROR(__xludf.DUMMYFUNCTION("""COMPUTED_VALUE"""),"Central")</f>
        <v>Central</v>
      </c>
      <c r="F1964" s="26">
        <f>IFERROR(__xludf.DUMMYFUNCTION("""COMPUTED_VALUE"""),7.824)</f>
        <v>7.824</v>
      </c>
      <c r="G1964" s="26">
        <f>IFERROR(__xludf.DUMMYFUNCTION("""COMPUTED_VALUE"""),1.0)</f>
        <v>1</v>
      </c>
      <c r="H1964" s="26">
        <f>IFERROR(__xludf.DUMMYFUNCTION("""COMPUTED_VALUE"""),2.934)</f>
        <v>2.934</v>
      </c>
    </row>
    <row r="1965">
      <c r="A1965" s="26" t="str">
        <f>IFERROR(__xludf.DUMMYFUNCTION("""COMPUTED_VALUE"""),"CA-2015-129217")</f>
        <v>CA-2015-129217</v>
      </c>
      <c r="B1965" s="27">
        <f>IFERROR(__xludf.DUMMYFUNCTION("""COMPUTED_VALUE"""),42134.0)</f>
        <v>42134</v>
      </c>
      <c r="C1965" s="26" t="str">
        <f>IFERROR(__xludf.DUMMYFUNCTION("""COMPUTED_VALUE"""),"Dennis Pardue")</f>
        <v>Dennis Pardue</v>
      </c>
      <c r="D1965" s="26" t="str">
        <f>IFERROR(__xludf.DUMMYFUNCTION("""COMPUTED_VALUE"""),"Home Office")</f>
        <v>Home Office</v>
      </c>
      <c r="E1965" s="26" t="str">
        <f>IFERROR(__xludf.DUMMYFUNCTION("""COMPUTED_VALUE"""),"Central")</f>
        <v>Central</v>
      </c>
      <c r="F1965" s="26">
        <f>IFERROR(__xludf.DUMMYFUNCTION("""COMPUTED_VALUE"""),70.97)</f>
        <v>70.97</v>
      </c>
      <c r="G1965" s="26">
        <f>IFERROR(__xludf.DUMMYFUNCTION("""COMPUTED_VALUE"""),5.0)</f>
        <v>5</v>
      </c>
      <c r="H1965" s="26">
        <f>IFERROR(__xludf.DUMMYFUNCTION("""COMPUTED_VALUE"""),-191.619)</f>
        <v>-191.619</v>
      </c>
    </row>
    <row r="1966">
      <c r="A1966" s="26" t="str">
        <f>IFERROR(__xludf.DUMMYFUNCTION("""COMPUTED_VALUE"""),"CA-2015-140221")</f>
        <v>CA-2015-140221</v>
      </c>
      <c r="B1966" s="27">
        <f>IFERROR(__xludf.DUMMYFUNCTION("""COMPUTED_VALUE"""),42068.0)</f>
        <v>42068</v>
      </c>
      <c r="C1966" s="26" t="str">
        <f>IFERROR(__xludf.DUMMYFUNCTION("""COMPUTED_VALUE"""),"Maribeth Schnelling")</f>
        <v>Maribeth Schnelling</v>
      </c>
      <c r="D1966" s="26" t="str">
        <f>IFERROR(__xludf.DUMMYFUNCTION("""COMPUTED_VALUE"""),"Consumer")</f>
        <v>Consumer</v>
      </c>
      <c r="E1966" s="26" t="str">
        <f>IFERROR(__xludf.DUMMYFUNCTION("""COMPUTED_VALUE"""),"Central")</f>
        <v>Central</v>
      </c>
      <c r="F1966" s="26">
        <f>IFERROR(__xludf.DUMMYFUNCTION("""COMPUTED_VALUE"""),11.212)</f>
        <v>11.212</v>
      </c>
      <c r="G1966" s="26">
        <f>IFERROR(__xludf.DUMMYFUNCTION("""COMPUTED_VALUE"""),2.0)</f>
        <v>2</v>
      </c>
      <c r="H1966" s="26">
        <f>IFERROR(__xludf.DUMMYFUNCTION("""COMPUTED_VALUE"""),-16.818)</f>
        <v>-16.818</v>
      </c>
    </row>
    <row r="1967">
      <c r="A1967" s="26" t="str">
        <f>IFERROR(__xludf.DUMMYFUNCTION("""COMPUTED_VALUE"""),"CA-2015-154284")</f>
        <v>CA-2015-154284</v>
      </c>
      <c r="B1967" s="27">
        <f>IFERROR(__xludf.DUMMYFUNCTION("""COMPUTED_VALUE"""),42359.0)</f>
        <v>42359</v>
      </c>
      <c r="C1967" s="26" t="str">
        <f>IFERROR(__xludf.DUMMYFUNCTION("""COMPUTED_VALUE"""),"Sam Zeldin")</f>
        <v>Sam Zeldin</v>
      </c>
      <c r="D1967" s="26" t="str">
        <f>IFERROR(__xludf.DUMMYFUNCTION("""COMPUTED_VALUE"""),"Home Office")</f>
        <v>Home Office</v>
      </c>
      <c r="E1967" s="26" t="str">
        <f>IFERROR(__xludf.DUMMYFUNCTION("""COMPUTED_VALUE"""),"Central")</f>
        <v>Central</v>
      </c>
      <c r="F1967" s="26">
        <f>IFERROR(__xludf.DUMMYFUNCTION("""COMPUTED_VALUE"""),600.53)</f>
        <v>600.53</v>
      </c>
      <c r="G1967" s="26">
        <f>IFERROR(__xludf.DUMMYFUNCTION("""COMPUTED_VALUE"""),2.0)</f>
        <v>2</v>
      </c>
      <c r="H1967" s="26">
        <f>IFERROR(__xludf.DUMMYFUNCTION("""COMPUTED_VALUE"""),137.264)</f>
        <v>137.264</v>
      </c>
    </row>
    <row r="1968">
      <c r="A1968" s="26" t="str">
        <f>IFERROR(__xludf.DUMMYFUNCTION("""COMPUTED_VALUE"""),"CA-2015-109169")</f>
        <v>CA-2015-109169</v>
      </c>
      <c r="B1968" s="27">
        <f>IFERROR(__xludf.DUMMYFUNCTION("""COMPUTED_VALUE"""),42114.0)</f>
        <v>42114</v>
      </c>
      <c r="C1968" s="26" t="str">
        <f>IFERROR(__xludf.DUMMYFUNCTION("""COMPUTED_VALUE"""),"Olvera Toch")</f>
        <v>Olvera Toch</v>
      </c>
      <c r="D1968" s="26" t="str">
        <f>IFERROR(__xludf.DUMMYFUNCTION("""COMPUTED_VALUE"""),"Consumer")</f>
        <v>Consumer</v>
      </c>
      <c r="E1968" s="26" t="str">
        <f>IFERROR(__xludf.DUMMYFUNCTION("""COMPUTED_VALUE"""),"Central")</f>
        <v>Central</v>
      </c>
      <c r="F1968" s="26">
        <f>IFERROR(__xludf.DUMMYFUNCTION("""COMPUTED_VALUE"""),180.96)</f>
        <v>180.96</v>
      </c>
      <c r="G1968" s="26">
        <f>IFERROR(__xludf.DUMMYFUNCTION("""COMPUTED_VALUE"""),2.0)</f>
        <v>2</v>
      </c>
      <c r="H1968" s="26">
        <f>IFERROR(__xludf.DUMMYFUNCTION("""COMPUTED_VALUE"""),81.432)</f>
        <v>81.432</v>
      </c>
    </row>
    <row r="1969">
      <c r="A1969" s="26" t="str">
        <f>IFERROR(__xludf.DUMMYFUNCTION("""COMPUTED_VALUE"""),"CA-2015-142937")</f>
        <v>CA-2015-142937</v>
      </c>
      <c r="B1969" s="27">
        <f>IFERROR(__xludf.DUMMYFUNCTION("""COMPUTED_VALUE"""),42343.0)</f>
        <v>42343</v>
      </c>
      <c r="C1969" s="26" t="str">
        <f>IFERROR(__xludf.DUMMYFUNCTION("""COMPUTED_VALUE"""),"Sandra Flanagan")</f>
        <v>Sandra Flanagan</v>
      </c>
      <c r="D1969" s="26" t="str">
        <f>IFERROR(__xludf.DUMMYFUNCTION("""COMPUTED_VALUE"""),"Consumer")</f>
        <v>Consumer</v>
      </c>
      <c r="E1969" s="26" t="str">
        <f>IFERROR(__xludf.DUMMYFUNCTION("""COMPUTED_VALUE"""),"Central")</f>
        <v>Central</v>
      </c>
      <c r="F1969" s="26">
        <f>IFERROR(__xludf.DUMMYFUNCTION("""COMPUTED_VALUE"""),45.04)</f>
        <v>45.04</v>
      </c>
      <c r="G1969" s="26">
        <f>IFERROR(__xludf.DUMMYFUNCTION("""COMPUTED_VALUE"""),2.0)</f>
        <v>2</v>
      </c>
      <c r="H1969" s="26">
        <f>IFERROR(__xludf.DUMMYFUNCTION("""COMPUTED_VALUE"""),4.504)</f>
        <v>4.504</v>
      </c>
    </row>
    <row r="1970">
      <c r="A1970" s="26" t="str">
        <f>IFERROR(__xludf.DUMMYFUNCTION("""COMPUTED_VALUE"""),"CA-2015-162964")</f>
        <v>CA-2015-162964</v>
      </c>
      <c r="B1970" s="27">
        <f>IFERROR(__xludf.DUMMYFUNCTION("""COMPUTED_VALUE"""),42320.0)</f>
        <v>42320</v>
      </c>
      <c r="C1970" s="26" t="str">
        <f>IFERROR(__xludf.DUMMYFUNCTION("""COMPUTED_VALUE"""),"Monica Federle")</f>
        <v>Monica Federle</v>
      </c>
      <c r="D1970" s="26" t="str">
        <f>IFERROR(__xludf.DUMMYFUNCTION("""COMPUTED_VALUE"""),"Corporate")</f>
        <v>Corporate</v>
      </c>
      <c r="E1970" s="26" t="str">
        <f>IFERROR(__xludf.DUMMYFUNCTION("""COMPUTED_VALUE"""),"Central")</f>
        <v>Central</v>
      </c>
      <c r="F1970" s="26">
        <f>IFERROR(__xludf.DUMMYFUNCTION("""COMPUTED_VALUE"""),64.784)</f>
        <v>64.784</v>
      </c>
      <c r="G1970" s="26">
        <f>IFERROR(__xludf.DUMMYFUNCTION("""COMPUTED_VALUE"""),1.0)</f>
        <v>1</v>
      </c>
      <c r="H1970" s="26">
        <f>IFERROR(__xludf.DUMMYFUNCTION("""COMPUTED_VALUE"""),-14.5764)</f>
        <v>-14.5764</v>
      </c>
    </row>
    <row r="1971">
      <c r="A1971" s="26" t="str">
        <f>IFERROR(__xludf.DUMMYFUNCTION("""COMPUTED_VALUE"""),"CA-2015-169537")</f>
        <v>CA-2015-169537</v>
      </c>
      <c r="B1971" s="27">
        <f>IFERROR(__xludf.DUMMYFUNCTION("""COMPUTED_VALUE"""),42250.0)</f>
        <v>42250</v>
      </c>
      <c r="C1971" s="26" t="str">
        <f>IFERROR(__xludf.DUMMYFUNCTION("""COMPUTED_VALUE"""),"John Huston")</f>
        <v>John Huston</v>
      </c>
      <c r="D1971" s="26" t="str">
        <f>IFERROR(__xludf.DUMMYFUNCTION("""COMPUTED_VALUE"""),"Consumer")</f>
        <v>Consumer</v>
      </c>
      <c r="E1971" s="26" t="str">
        <f>IFERROR(__xludf.DUMMYFUNCTION("""COMPUTED_VALUE"""),"Central")</f>
        <v>Central</v>
      </c>
      <c r="F1971" s="26">
        <f>IFERROR(__xludf.DUMMYFUNCTION("""COMPUTED_VALUE"""),7.5)</f>
        <v>7.5</v>
      </c>
      <c r="G1971" s="26">
        <f>IFERROR(__xludf.DUMMYFUNCTION("""COMPUTED_VALUE"""),2.0)</f>
        <v>2</v>
      </c>
      <c r="H1971" s="26">
        <f>IFERROR(__xludf.DUMMYFUNCTION("""COMPUTED_VALUE"""),3.6)</f>
        <v>3.6</v>
      </c>
    </row>
    <row r="1972">
      <c r="A1972" s="26" t="str">
        <f>IFERROR(__xludf.DUMMYFUNCTION("""COMPUTED_VALUE"""),"CA-2015-109190")</f>
        <v>CA-2015-109190</v>
      </c>
      <c r="B1972" s="27">
        <f>IFERROR(__xludf.DUMMYFUNCTION("""COMPUTED_VALUE"""),42300.0)</f>
        <v>42300</v>
      </c>
      <c r="C1972" s="26" t="str">
        <f>IFERROR(__xludf.DUMMYFUNCTION("""COMPUTED_VALUE"""),"Craig Carroll")</f>
        <v>Craig Carroll</v>
      </c>
      <c r="D1972" s="26" t="str">
        <f>IFERROR(__xludf.DUMMYFUNCTION("""COMPUTED_VALUE"""),"Consumer")</f>
        <v>Consumer</v>
      </c>
      <c r="E1972" s="26" t="str">
        <f>IFERROR(__xludf.DUMMYFUNCTION("""COMPUTED_VALUE"""),"Central")</f>
        <v>Central</v>
      </c>
      <c r="F1972" s="26">
        <f>IFERROR(__xludf.DUMMYFUNCTION("""COMPUTED_VALUE"""),60.736)</f>
        <v>60.736</v>
      </c>
      <c r="G1972" s="26">
        <f>IFERROR(__xludf.DUMMYFUNCTION("""COMPUTED_VALUE"""),8.0)</f>
        <v>8</v>
      </c>
      <c r="H1972" s="26">
        <f>IFERROR(__xludf.DUMMYFUNCTION("""COMPUTED_VALUE"""),20.4984)</f>
        <v>20.4984</v>
      </c>
    </row>
    <row r="1973">
      <c r="A1973" s="26" t="str">
        <f>IFERROR(__xludf.DUMMYFUNCTION("""COMPUTED_VALUE"""),"CA-2015-135853")</f>
        <v>CA-2015-135853</v>
      </c>
      <c r="B1973" s="27">
        <f>IFERROR(__xludf.DUMMYFUNCTION("""COMPUTED_VALUE"""),42349.0)</f>
        <v>42349</v>
      </c>
      <c r="C1973" s="26" t="str">
        <f>IFERROR(__xludf.DUMMYFUNCTION("""COMPUTED_VALUE"""),"Cynthia Arntzen")</f>
        <v>Cynthia Arntzen</v>
      </c>
      <c r="D1973" s="26" t="str">
        <f>IFERROR(__xludf.DUMMYFUNCTION("""COMPUTED_VALUE"""),"Consumer")</f>
        <v>Consumer</v>
      </c>
      <c r="E1973" s="26" t="str">
        <f>IFERROR(__xludf.DUMMYFUNCTION("""COMPUTED_VALUE"""),"Central")</f>
        <v>Central</v>
      </c>
      <c r="F1973" s="26">
        <f>IFERROR(__xludf.DUMMYFUNCTION("""COMPUTED_VALUE"""),175.23)</f>
        <v>175.23</v>
      </c>
      <c r="G1973" s="26">
        <f>IFERROR(__xludf.DUMMYFUNCTION("""COMPUTED_VALUE"""),11.0)</f>
        <v>11</v>
      </c>
      <c r="H1973" s="26">
        <f>IFERROR(__xludf.DUMMYFUNCTION("""COMPUTED_VALUE"""),61.3305)</f>
        <v>61.3305</v>
      </c>
    </row>
    <row r="1974">
      <c r="A1974" s="26" t="str">
        <f>IFERROR(__xludf.DUMMYFUNCTION("""COMPUTED_VALUE"""),"CA-2015-121132")</f>
        <v>CA-2015-121132</v>
      </c>
      <c r="B1974" s="27">
        <f>IFERROR(__xludf.DUMMYFUNCTION("""COMPUTED_VALUE"""),42202.0)</f>
        <v>42202</v>
      </c>
      <c r="C1974" s="26" t="str">
        <f>IFERROR(__xludf.DUMMYFUNCTION("""COMPUTED_VALUE"""),"Victoria Brennan")</f>
        <v>Victoria Brennan</v>
      </c>
      <c r="D1974" s="26" t="str">
        <f>IFERROR(__xludf.DUMMYFUNCTION("""COMPUTED_VALUE"""),"Corporate")</f>
        <v>Corporate</v>
      </c>
      <c r="E1974" s="26" t="str">
        <f>IFERROR(__xludf.DUMMYFUNCTION("""COMPUTED_VALUE"""),"Central")</f>
        <v>Central</v>
      </c>
      <c r="F1974" s="26">
        <f>IFERROR(__xludf.DUMMYFUNCTION("""COMPUTED_VALUE"""),6.264)</f>
        <v>6.264</v>
      </c>
      <c r="G1974" s="26">
        <f>IFERROR(__xludf.DUMMYFUNCTION("""COMPUTED_VALUE"""),3.0)</f>
        <v>3</v>
      </c>
      <c r="H1974" s="26">
        <f>IFERROR(__xludf.DUMMYFUNCTION("""COMPUTED_VALUE"""),2.0358)</f>
        <v>2.0358</v>
      </c>
    </row>
    <row r="1975">
      <c r="A1975" s="26" t="str">
        <f>IFERROR(__xludf.DUMMYFUNCTION("""COMPUTED_VALUE"""),"CA-2015-131856")</f>
        <v>CA-2015-131856</v>
      </c>
      <c r="B1975" s="27">
        <f>IFERROR(__xludf.DUMMYFUNCTION("""COMPUTED_VALUE"""),42136.0)</f>
        <v>42136</v>
      </c>
      <c r="C1975" s="26" t="str">
        <f>IFERROR(__xludf.DUMMYFUNCTION("""COMPUTED_VALUE"""),"James Galang")</f>
        <v>James Galang</v>
      </c>
      <c r="D1975" s="26" t="str">
        <f>IFERROR(__xludf.DUMMYFUNCTION("""COMPUTED_VALUE"""),"Consumer")</f>
        <v>Consumer</v>
      </c>
      <c r="E1975" s="26" t="str">
        <f>IFERROR(__xludf.DUMMYFUNCTION("""COMPUTED_VALUE"""),"Central")</f>
        <v>Central</v>
      </c>
      <c r="F1975" s="26">
        <f>IFERROR(__xludf.DUMMYFUNCTION("""COMPUTED_VALUE"""),21.968)</f>
        <v>21.968</v>
      </c>
      <c r="G1975" s="26">
        <f>IFERROR(__xludf.DUMMYFUNCTION("""COMPUTED_VALUE"""),4.0)</f>
        <v>4</v>
      </c>
      <c r="H1975" s="26">
        <f>IFERROR(__xludf.DUMMYFUNCTION("""COMPUTED_VALUE"""),-15.9268)</f>
        <v>-15.9268</v>
      </c>
    </row>
    <row r="1976">
      <c r="A1976" s="26" t="str">
        <f>IFERROR(__xludf.DUMMYFUNCTION("""COMPUTED_VALUE"""),"CA-2015-111017")</f>
        <v>CA-2015-111017</v>
      </c>
      <c r="B1976" s="27">
        <f>IFERROR(__xludf.DUMMYFUNCTION("""COMPUTED_VALUE"""),42216.0)</f>
        <v>42216</v>
      </c>
      <c r="C1976" s="26" t="str">
        <f>IFERROR(__xludf.DUMMYFUNCTION("""COMPUTED_VALUE"""),"Steve Chapman")</f>
        <v>Steve Chapman</v>
      </c>
      <c r="D1976" s="26" t="str">
        <f>IFERROR(__xludf.DUMMYFUNCTION("""COMPUTED_VALUE"""),"Corporate")</f>
        <v>Corporate</v>
      </c>
      <c r="E1976" s="26" t="str">
        <f>IFERROR(__xludf.DUMMYFUNCTION("""COMPUTED_VALUE"""),"Central")</f>
        <v>Central</v>
      </c>
      <c r="F1976" s="26">
        <f>IFERROR(__xludf.DUMMYFUNCTION("""COMPUTED_VALUE"""),52.59)</f>
        <v>52.59</v>
      </c>
      <c r="G1976" s="26">
        <f>IFERROR(__xludf.DUMMYFUNCTION("""COMPUTED_VALUE"""),3.0)</f>
        <v>3</v>
      </c>
      <c r="H1976" s="26">
        <f>IFERROR(__xludf.DUMMYFUNCTION("""COMPUTED_VALUE"""),15.777)</f>
        <v>15.777</v>
      </c>
    </row>
    <row r="1977">
      <c r="A1977" s="26" t="str">
        <f>IFERROR(__xludf.DUMMYFUNCTION("""COMPUTED_VALUE"""),"CA-2015-113222")</f>
        <v>CA-2015-113222</v>
      </c>
      <c r="B1977" s="27">
        <f>IFERROR(__xludf.DUMMYFUNCTION("""COMPUTED_VALUE"""),42317.0)</f>
        <v>42317</v>
      </c>
      <c r="C1977" s="26" t="str">
        <f>IFERROR(__xludf.DUMMYFUNCTION("""COMPUTED_VALUE"""),"Anthony Garverick")</f>
        <v>Anthony Garverick</v>
      </c>
      <c r="D1977" s="26" t="str">
        <f>IFERROR(__xludf.DUMMYFUNCTION("""COMPUTED_VALUE"""),"Home Office")</f>
        <v>Home Office</v>
      </c>
      <c r="E1977" s="26" t="str">
        <f>IFERROR(__xludf.DUMMYFUNCTION("""COMPUTED_VALUE"""),"Central")</f>
        <v>Central</v>
      </c>
      <c r="F1977" s="26">
        <f>IFERROR(__xludf.DUMMYFUNCTION("""COMPUTED_VALUE"""),10.74)</f>
        <v>10.74</v>
      </c>
      <c r="G1977" s="26">
        <f>IFERROR(__xludf.DUMMYFUNCTION("""COMPUTED_VALUE"""),3.0)</f>
        <v>3</v>
      </c>
      <c r="H1977" s="26">
        <f>IFERROR(__xludf.DUMMYFUNCTION("""COMPUTED_VALUE"""),5.1552)</f>
        <v>5.1552</v>
      </c>
    </row>
    <row r="1978">
      <c r="A1978" s="26" t="str">
        <f>IFERROR(__xludf.DUMMYFUNCTION("""COMPUTED_VALUE"""),"CA-2015-107083")</f>
        <v>CA-2015-107083</v>
      </c>
      <c r="B1978" s="27">
        <f>IFERROR(__xludf.DUMMYFUNCTION("""COMPUTED_VALUE"""),42329.0)</f>
        <v>42329</v>
      </c>
      <c r="C1978" s="26" t="str">
        <f>IFERROR(__xludf.DUMMYFUNCTION("""COMPUTED_VALUE"""),"Brenda Bowman")</f>
        <v>Brenda Bowman</v>
      </c>
      <c r="D1978" s="26" t="str">
        <f>IFERROR(__xludf.DUMMYFUNCTION("""COMPUTED_VALUE"""),"Corporate")</f>
        <v>Corporate</v>
      </c>
      <c r="E1978" s="26" t="str">
        <f>IFERROR(__xludf.DUMMYFUNCTION("""COMPUTED_VALUE"""),"Central")</f>
        <v>Central</v>
      </c>
      <c r="F1978" s="26">
        <f>IFERROR(__xludf.DUMMYFUNCTION("""COMPUTED_VALUE"""),5.344)</f>
        <v>5.344</v>
      </c>
      <c r="G1978" s="26">
        <f>IFERROR(__xludf.DUMMYFUNCTION("""COMPUTED_VALUE"""),2.0)</f>
        <v>2</v>
      </c>
      <c r="H1978" s="26">
        <f>IFERROR(__xludf.DUMMYFUNCTION("""COMPUTED_VALUE"""),0.7348)</f>
        <v>0.7348</v>
      </c>
    </row>
    <row r="1979">
      <c r="A1979" s="26" t="str">
        <f>IFERROR(__xludf.DUMMYFUNCTION("""COMPUTED_VALUE"""),"CA-2015-133585")</f>
        <v>CA-2015-133585</v>
      </c>
      <c r="B1979" s="27">
        <f>IFERROR(__xludf.DUMMYFUNCTION("""COMPUTED_VALUE"""),42064.0)</f>
        <v>42064</v>
      </c>
      <c r="C1979" s="26" t="str">
        <f>IFERROR(__xludf.DUMMYFUNCTION("""COMPUTED_VALUE"""),"Craig Molinari")</f>
        <v>Craig Molinari</v>
      </c>
      <c r="D1979" s="26" t="str">
        <f>IFERROR(__xludf.DUMMYFUNCTION("""COMPUTED_VALUE"""),"Corporate")</f>
        <v>Corporate</v>
      </c>
      <c r="E1979" s="26" t="str">
        <f>IFERROR(__xludf.DUMMYFUNCTION("""COMPUTED_VALUE"""),"Central")</f>
        <v>Central</v>
      </c>
      <c r="F1979" s="26">
        <f>IFERROR(__xludf.DUMMYFUNCTION("""COMPUTED_VALUE"""),55.328)</f>
        <v>55.328</v>
      </c>
      <c r="G1979" s="26">
        <f>IFERROR(__xludf.DUMMYFUNCTION("""COMPUTED_VALUE"""),2.0)</f>
        <v>2</v>
      </c>
      <c r="H1979" s="26">
        <f>IFERROR(__xludf.DUMMYFUNCTION("""COMPUTED_VALUE"""),6.2244)</f>
        <v>6.2244</v>
      </c>
    </row>
    <row r="1980">
      <c r="A1980" s="26" t="str">
        <f>IFERROR(__xludf.DUMMYFUNCTION("""COMPUTED_VALUE"""),"CA-2015-142930")</f>
        <v>CA-2015-142930</v>
      </c>
      <c r="B1980" s="27">
        <f>IFERROR(__xludf.DUMMYFUNCTION("""COMPUTED_VALUE"""),42336.0)</f>
        <v>42336</v>
      </c>
      <c r="C1980" s="26" t="str">
        <f>IFERROR(__xludf.DUMMYFUNCTION("""COMPUTED_VALUE"""),"Evan Bailliet")</f>
        <v>Evan Bailliet</v>
      </c>
      <c r="D1980" s="26" t="str">
        <f>IFERROR(__xludf.DUMMYFUNCTION("""COMPUTED_VALUE"""),"Consumer")</f>
        <v>Consumer</v>
      </c>
      <c r="E1980" s="26" t="str">
        <f>IFERROR(__xludf.DUMMYFUNCTION("""COMPUTED_VALUE"""),"Central")</f>
        <v>Central</v>
      </c>
      <c r="F1980" s="26">
        <f>IFERROR(__xludf.DUMMYFUNCTION("""COMPUTED_VALUE"""),335.52)</f>
        <v>335.52</v>
      </c>
      <c r="G1980" s="26">
        <f>IFERROR(__xludf.DUMMYFUNCTION("""COMPUTED_VALUE"""),4.0)</f>
        <v>4</v>
      </c>
      <c r="H1980" s="26">
        <f>IFERROR(__xludf.DUMMYFUNCTION("""COMPUTED_VALUE"""),117.432)</f>
        <v>117.432</v>
      </c>
    </row>
    <row r="1981">
      <c r="A1981" s="26" t="str">
        <f>IFERROR(__xludf.DUMMYFUNCTION("""COMPUTED_VALUE"""),"CA-2015-115168")</f>
        <v>CA-2015-115168</v>
      </c>
      <c r="B1981" s="27">
        <f>IFERROR(__xludf.DUMMYFUNCTION("""COMPUTED_VALUE"""),42160.0)</f>
        <v>42160</v>
      </c>
      <c r="C1981" s="26" t="str">
        <f>IFERROR(__xludf.DUMMYFUNCTION("""COMPUTED_VALUE"""),"Brenda Bowman")</f>
        <v>Brenda Bowman</v>
      </c>
      <c r="D1981" s="26" t="str">
        <f>IFERROR(__xludf.DUMMYFUNCTION("""COMPUTED_VALUE"""),"Corporate")</f>
        <v>Corporate</v>
      </c>
      <c r="E1981" s="26" t="str">
        <f>IFERROR(__xludf.DUMMYFUNCTION("""COMPUTED_VALUE"""),"Central")</f>
        <v>Central</v>
      </c>
      <c r="F1981" s="26">
        <f>IFERROR(__xludf.DUMMYFUNCTION("""COMPUTED_VALUE"""),10.56)</f>
        <v>10.56</v>
      </c>
      <c r="G1981" s="26">
        <f>IFERROR(__xludf.DUMMYFUNCTION("""COMPUTED_VALUE"""),2.0)</f>
        <v>2</v>
      </c>
      <c r="H1981" s="26">
        <f>IFERROR(__xludf.DUMMYFUNCTION("""COMPUTED_VALUE"""),4.752)</f>
        <v>4.752</v>
      </c>
    </row>
    <row r="1982">
      <c r="A1982" s="26" t="str">
        <f>IFERROR(__xludf.DUMMYFUNCTION("""COMPUTED_VALUE"""),"US-2015-168704")</f>
        <v>US-2015-168704</v>
      </c>
      <c r="B1982" s="27">
        <f>IFERROR(__xludf.DUMMYFUNCTION("""COMPUTED_VALUE"""),42107.0)</f>
        <v>42107</v>
      </c>
      <c r="C1982" s="26" t="str">
        <f>IFERROR(__xludf.DUMMYFUNCTION("""COMPUTED_VALUE"""),"Frank Preis")</f>
        <v>Frank Preis</v>
      </c>
      <c r="D1982" s="26" t="str">
        <f>IFERROR(__xludf.DUMMYFUNCTION("""COMPUTED_VALUE"""),"Consumer")</f>
        <v>Consumer</v>
      </c>
      <c r="E1982" s="26" t="str">
        <f>IFERROR(__xludf.DUMMYFUNCTION("""COMPUTED_VALUE"""),"Central")</f>
        <v>Central</v>
      </c>
      <c r="F1982" s="26">
        <f>IFERROR(__xludf.DUMMYFUNCTION("""COMPUTED_VALUE"""),609.98)</f>
        <v>609.98</v>
      </c>
      <c r="G1982" s="26">
        <f>IFERROR(__xludf.DUMMYFUNCTION("""COMPUTED_VALUE"""),4.0)</f>
        <v>4</v>
      </c>
      <c r="H1982" s="26">
        <f>IFERROR(__xludf.DUMMYFUNCTION("""COMPUTED_VALUE"""),-113.282)</f>
        <v>-113.282</v>
      </c>
    </row>
    <row r="1983">
      <c r="A1983" s="26" t="str">
        <f>IFERROR(__xludf.DUMMYFUNCTION("""COMPUTED_VALUE"""),"CA-2015-150413")</f>
        <v>CA-2015-150413</v>
      </c>
      <c r="B1983" s="27">
        <f>IFERROR(__xludf.DUMMYFUNCTION("""COMPUTED_VALUE"""),42296.0)</f>
        <v>42296</v>
      </c>
      <c r="C1983" s="26" t="str">
        <f>IFERROR(__xludf.DUMMYFUNCTION("""COMPUTED_VALUE"""),"Cari Schnelling")</f>
        <v>Cari Schnelling</v>
      </c>
      <c r="D1983" s="26" t="str">
        <f>IFERROR(__xludf.DUMMYFUNCTION("""COMPUTED_VALUE"""),"Consumer")</f>
        <v>Consumer</v>
      </c>
      <c r="E1983" s="26" t="str">
        <f>IFERROR(__xludf.DUMMYFUNCTION("""COMPUTED_VALUE"""),"Central")</f>
        <v>Central</v>
      </c>
      <c r="F1983" s="26">
        <f>IFERROR(__xludf.DUMMYFUNCTION("""COMPUTED_VALUE"""),1.72)</f>
        <v>1.72</v>
      </c>
      <c r="G1983" s="26">
        <f>IFERROR(__xludf.DUMMYFUNCTION("""COMPUTED_VALUE"""),1.0)</f>
        <v>1</v>
      </c>
      <c r="H1983" s="26">
        <f>IFERROR(__xludf.DUMMYFUNCTION("""COMPUTED_VALUE"""),-2.838)</f>
        <v>-2.838</v>
      </c>
    </row>
    <row r="1984">
      <c r="A1984" s="26" t="str">
        <f>IFERROR(__xludf.DUMMYFUNCTION("""COMPUTED_VALUE"""),"US-2015-128587")</f>
        <v>US-2015-128587</v>
      </c>
      <c r="B1984" s="27">
        <f>IFERROR(__xludf.DUMMYFUNCTION("""COMPUTED_VALUE"""),42362.0)</f>
        <v>42362</v>
      </c>
      <c r="C1984" s="26" t="str">
        <f>IFERROR(__xludf.DUMMYFUNCTION("""COMPUTED_VALUE"""),"Harry Marie")</f>
        <v>Harry Marie</v>
      </c>
      <c r="D1984" s="26" t="str">
        <f>IFERROR(__xludf.DUMMYFUNCTION("""COMPUTED_VALUE"""),"Corporate")</f>
        <v>Corporate</v>
      </c>
      <c r="E1984" s="26" t="str">
        <f>IFERROR(__xludf.DUMMYFUNCTION("""COMPUTED_VALUE"""),"Central")</f>
        <v>Central</v>
      </c>
      <c r="F1984" s="26">
        <f>IFERROR(__xludf.DUMMYFUNCTION("""COMPUTED_VALUE"""),9.68)</f>
        <v>9.68</v>
      </c>
      <c r="G1984" s="26">
        <f>IFERROR(__xludf.DUMMYFUNCTION("""COMPUTED_VALUE"""),2.0)</f>
        <v>2</v>
      </c>
      <c r="H1984" s="26">
        <f>IFERROR(__xludf.DUMMYFUNCTION("""COMPUTED_VALUE"""),3.7752)</f>
        <v>3.7752</v>
      </c>
    </row>
    <row r="1985">
      <c r="A1985" s="26" t="str">
        <f>IFERROR(__xludf.DUMMYFUNCTION("""COMPUTED_VALUE"""),"CA-2015-137071")</f>
        <v>CA-2015-137071</v>
      </c>
      <c r="B1985" s="27">
        <f>IFERROR(__xludf.DUMMYFUNCTION("""COMPUTED_VALUE"""),42358.0)</f>
        <v>42358</v>
      </c>
      <c r="C1985" s="26" t="str">
        <f>IFERROR(__xludf.DUMMYFUNCTION("""COMPUTED_VALUE"""),"Emily Ducich")</f>
        <v>Emily Ducich</v>
      </c>
      <c r="D1985" s="26" t="str">
        <f>IFERROR(__xludf.DUMMYFUNCTION("""COMPUTED_VALUE"""),"Home Office")</f>
        <v>Home Office</v>
      </c>
      <c r="E1985" s="26" t="str">
        <f>IFERROR(__xludf.DUMMYFUNCTION("""COMPUTED_VALUE"""),"Central")</f>
        <v>Central</v>
      </c>
      <c r="F1985" s="26">
        <f>IFERROR(__xludf.DUMMYFUNCTION("""COMPUTED_VALUE"""),100.8)</f>
        <v>100.8</v>
      </c>
      <c r="G1985" s="26">
        <f>IFERROR(__xludf.DUMMYFUNCTION("""COMPUTED_VALUE"""),2.0)</f>
        <v>2</v>
      </c>
      <c r="H1985" s="26">
        <f>IFERROR(__xludf.DUMMYFUNCTION("""COMPUTED_VALUE"""),21.42)</f>
        <v>21.42</v>
      </c>
    </row>
    <row r="1986">
      <c r="A1986" s="26" t="str">
        <f>IFERROR(__xludf.DUMMYFUNCTION("""COMPUTED_VALUE"""),"CA-2015-148873")</f>
        <v>CA-2015-148873</v>
      </c>
      <c r="B1986" s="27">
        <f>IFERROR(__xludf.DUMMYFUNCTION("""COMPUTED_VALUE"""),42278.0)</f>
        <v>42278</v>
      </c>
      <c r="C1986" s="26" t="str">
        <f>IFERROR(__xludf.DUMMYFUNCTION("""COMPUTED_VALUE"""),"Eric Murdock")</f>
        <v>Eric Murdock</v>
      </c>
      <c r="D1986" s="26" t="str">
        <f>IFERROR(__xludf.DUMMYFUNCTION("""COMPUTED_VALUE"""),"Consumer")</f>
        <v>Consumer</v>
      </c>
      <c r="E1986" s="26" t="str">
        <f>IFERROR(__xludf.DUMMYFUNCTION("""COMPUTED_VALUE"""),"Central")</f>
        <v>Central</v>
      </c>
      <c r="F1986" s="26">
        <f>IFERROR(__xludf.DUMMYFUNCTION("""COMPUTED_VALUE"""),2.992)</f>
        <v>2.992</v>
      </c>
      <c r="G1986" s="26">
        <f>IFERROR(__xludf.DUMMYFUNCTION("""COMPUTED_VALUE"""),4.0)</f>
        <v>4</v>
      </c>
      <c r="H1986" s="26">
        <f>IFERROR(__xludf.DUMMYFUNCTION("""COMPUTED_VALUE"""),-4.488)</f>
        <v>-4.488</v>
      </c>
    </row>
    <row r="1987">
      <c r="A1987" s="26" t="str">
        <f>IFERROR(__xludf.DUMMYFUNCTION("""COMPUTED_VALUE"""),"CA-2015-136105")</f>
        <v>CA-2015-136105</v>
      </c>
      <c r="B1987" s="27">
        <f>IFERROR(__xludf.DUMMYFUNCTION("""COMPUTED_VALUE"""),42167.0)</f>
        <v>42167</v>
      </c>
      <c r="C1987" s="26" t="str">
        <f>IFERROR(__xludf.DUMMYFUNCTION("""COMPUTED_VALUE"""),"Sam Zeldin")</f>
        <v>Sam Zeldin</v>
      </c>
      <c r="D1987" s="26" t="str">
        <f>IFERROR(__xludf.DUMMYFUNCTION("""COMPUTED_VALUE"""),"Home Office")</f>
        <v>Home Office</v>
      </c>
      <c r="E1987" s="26" t="str">
        <f>IFERROR(__xludf.DUMMYFUNCTION("""COMPUTED_VALUE"""),"Central")</f>
        <v>Central</v>
      </c>
      <c r="F1987" s="26">
        <f>IFERROR(__xludf.DUMMYFUNCTION("""COMPUTED_VALUE"""),24.56)</f>
        <v>24.56</v>
      </c>
      <c r="G1987" s="26">
        <f>IFERROR(__xludf.DUMMYFUNCTION("""COMPUTED_VALUE"""),2.0)</f>
        <v>2</v>
      </c>
      <c r="H1987" s="26">
        <f>IFERROR(__xludf.DUMMYFUNCTION("""COMPUTED_VALUE"""),6.8768)</f>
        <v>6.8768</v>
      </c>
    </row>
    <row r="1988">
      <c r="A1988" s="26" t="str">
        <f>IFERROR(__xludf.DUMMYFUNCTION("""COMPUTED_VALUE"""),"US-2015-132836")</f>
        <v>US-2015-132836</v>
      </c>
      <c r="B1988" s="27">
        <f>IFERROR(__xludf.DUMMYFUNCTION("""COMPUTED_VALUE"""),42156.0)</f>
        <v>42156</v>
      </c>
      <c r="C1988" s="26" t="str">
        <f>IFERROR(__xludf.DUMMYFUNCTION("""COMPUTED_VALUE"""),"Ashley Jarboe")</f>
        <v>Ashley Jarboe</v>
      </c>
      <c r="D1988" s="26" t="str">
        <f>IFERROR(__xludf.DUMMYFUNCTION("""COMPUTED_VALUE"""),"Consumer")</f>
        <v>Consumer</v>
      </c>
      <c r="E1988" s="26" t="str">
        <f>IFERROR(__xludf.DUMMYFUNCTION("""COMPUTED_VALUE"""),"Central")</f>
        <v>Central</v>
      </c>
      <c r="F1988" s="26">
        <f>IFERROR(__xludf.DUMMYFUNCTION("""COMPUTED_VALUE"""),299.98)</f>
        <v>299.98</v>
      </c>
      <c r="G1988" s="26">
        <f>IFERROR(__xludf.DUMMYFUNCTION("""COMPUTED_VALUE"""),2.0)</f>
        <v>2</v>
      </c>
      <c r="H1988" s="26">
        <f>IFERROR(__xludf.DUMMYFUNCTION("""COMPUTED_VALUE"""),83.9944)</f>
        <v>83.9944</v>
      </c>
    </row>
    <row r="1989">
      <c r="A1989" s="26" t="str">
        <f>IFERROR(__xludf.DUMMYFUNCTION("""COMPUTED_VALUE"""),"CA-2015-163181")</f>
        <v>CA-2015-163181</v>
      </c>
      <c r="B1989" s="27">
        <f>IFERROR(__xludf.DUMMYFUNCTION("""COMPUTED_VALUE"""),42315.0)</f>
        <v>42315</v>
      </c>
      <c r="C1989" s="26" t="str">
        <f>IFERROR(__xludf.DUMMYFUNCTION("""COMPUTED_VALUE"""),"Adrian Barton")</f>
        <v>Adrian Barton</v>
      </c>
      <c r="D1989" s="26" t="str">
        <f>IFERROR(__xludf.DUMMYFUNCTION("""COMPUTED_VALUE"""),"Consumer")</f>
        <v>Consumer</v>
      </c>
      <c r="E1989" s="26" t="str">
        <f>IFERROR(__xludf.DUMMYFUNCTION("""COMPUTED_VALUE"""),"Central")</f>
        <v>Central</v>
      </c>
      <c r="F1989" s="26">
        <f>IFERROR(__xludf.DUMMYFUNCTION("""COMPUTED_VALUE"""),23.64)</f>
        <v>23.64</v>
      </c>
      <c r="G1989" s="26">
        <f>IFERROR(__xludf.DUMMYFUNCTION("""COMPUTED_VALUE"""),3.0)</f>
        <v>3</v>
      </c>
      <c r="H1989" s="26">
        <f>IFERROR(__xludf.DUMMYFUNCTION("""COMPUTED_VALUE"""),5.319)</f>
        <v>5.319</v>
      </c>
    </row>
    <row r="1990">
      <c r="A1990" s="26" t="str">
        <f>IFERROR(__xludf.DUMMYFUNCTION("""COMPUTED_VALUE"""),"CA-2015-132941")</f>
        <v>CA-2015-132941</v>
      </c>
      <c r="B1990" s="27">
        <f>IFERROR(__xludf.DUMMYFUNCTION("""COMPUTED_VALUE"""),42149.0)</f>
        <v>42149</v>
      </c>
      <c r="C1990" s="26" t="str">
        <f>IFERROR(__xludf.DUMMYFUNCTION("""COMPUTED_VALUE"""),"Muhammed MacIntyre")</f>
        <v>Muhammed MacIntyre</v>
      </c>
      <c r="D1990" s="26" t="str">
        <f>IFERROR(__xludf.DUMMYFUNCTION("""COMPUTED_VALUE"""),"Corporate")</f>
        <v>Corporate</v>
      </c>
      <c r="E1990" s="26" t="str">
        <f>IFERROR(__xludf.DUMMYFUNCTION("""COMPUTED_VALUE"""),"Central")</f>
        <v>Central</v>
      </c>
      <c r="F1990" s="26">
        <f>IFERROR(__xludf.DUMMYFUNCTION("""COMPUTED_VALUE"""),22.368)</f>
        <v>22.368</v>
      </c>
      <c r="G1990" s="26">
        <f>IFERROR(__xludf.DUMMYFUNCTION("""COMPUTED_VALUE"""),2.0)</f>
        <v>2</v>
      </c>
      <c r="H1990" s="26">
        <f>IFERROR(__xludf.DUMMYFUNCTION("""COMPUTED_VALUE"""),1.6776)</f>
        <v>1.6776</v>
      </c>
    </row>
    <row r="1991">
      <c r="A1991" s="26" t="str">
        <f>IFERROR(__xludf.DUMMYFUNCTION("""COMPUTED_VALUE"""),"CA-2015-126970")</f>
        <v>CA-2015-126970</v>
      </c>
      <c r="B1991" s="27">
        <f>IFERROR(__xludf.DUMMYFUNCTION("""COMPUTED_VALUE"""),42267.0)</f>
        <v>42267</v>
      </c>
      <c r="C1991" s="26" t="str">
        <f>IFERROR(__xludf.DUMMYFUNCTION("""COMPUTED_VALUE"""),"Theone Pippenger")</f>
        <v>Theone Pippenger</v>
      </c>
      <c r="D1991" s="26" t="str">
        <f>IFERROR(__xludf.DUMMYFUNCTION("""COMPUTED_VALUE"""),"Consumer")</f>
        <v>Consumer</v>
      </c>
      <c r="E1991" s="26" t="str">
        <f>IFERROR(__xludf.DUMMYFUNCTION("""COMPUTED_VALUE"""),"Central")</f>
        <v>Central</v>
      </c>
      <c r="F1991" s="26">
        <f>IFERROR(__xludf.DUMMYFUNCTION("""COMPUTED_VALUE"""),2.808)</f>
        <v>2.808</v>
      </c>
      <c r="G1991" s="26">
        <f>IFERROR(__xludf.DUMMYFUNCTION("""COMPUTED_VALUE"""),3.0)</f>
        <v>3</v>
      </c>
      <c r="H1991" s="26">
        <f>IFERROR(__xludf.DUMMYFUNCTION("""COMPUTED_VALUE"""),-4.4928)</f>
        <v>-4.4928</v>
      </c>
    </row>
    <row r="1992">
      <c r="A1992" s="26" t="str">
        <f>IFERROR(__xludf.DUMMYFUNCTION("""COMPUTED_VALUE"""),"CA-2015-164007")</f>
        <v>CA-2015-164007</v>
      </c>
      <c r="B1992" s="27">
        <f>IFERROR(__xludf.DUMMYFUNCTION("""COMPUTED_VALUE"""),42163.0)</f>
        <v>42163</v>
      </c>
      <c r="C1992" s="26" t="str">
        <f>IFERROR(__xludf.DUMMYFUNCTION("""COMPUTED_VALUE"""),"Maureen Gnade")</f>
        <v>Maureen Gnade</v>
      </c>
      <c r="D1992" s="26" t="str">
        <f>IFERROR(__xludf.DUMMYFUNCTION("""COMPUTED_VALUE"""),"Consumer")</f>
        <v>Consumer</v>
      </c>
      <c r="E1992" s="26" t="str">
        <f>IFERROR(__xludf.DUMMYFUNCTION("""COMPUTED_VALUE"""),"Central")</f>
        <v>Central</v>
      </c>
      <c r="F1992" s="26">
        <f>IFERROR(__xludf.DUMMYFUNCTION("""COMPUTED_VALUE"""),2.376)</f>
        <v>2.376</v>
      </c>
      <c r="G1992" s="26">
        <f>IFERROR(__xludf.DUMMYFUNCTION("""COMPUTED_VALUE"""),3.0)</f>
        <v>3</v>
      </c>
      <c r="H1992" s="26">
        <f>IFERROR(__xludf.DUMMYFUNCTION("""COMPUTED_VALUE"""),0.7425)</f>
        <v>0.7425</v>
      </c>
    </row>
    <row r="1993">
      <c r="A1993" s="26" t="str">
        <f>IFERROR(__xludf.DUMMYFUNCTION("""COMPUTED_VALUE"""),"CA-2015-141810")</f>
        <v>CA-2015-141810</v>
      </c>
      <c r="B1993" s="27">
        <f>IFERROR(__xludf.DUMMYFUNCTION("""COMPUTED_VALUE"""),42310.0)</f>
        <v>42310</v>
      </c>
      <c r="C1993" s="26" t="str">
        <f>IFERROR(__xludf.DUMMYFUNCTION("""COMPUTED_VALUE"""),"Barry Blumstein")</f>
        <v>Barry Blumstein</v>
      </c>
      <c r="D1993" s="26" t="str">
        <f>IFERROR(__xludf.DUMMYFUNCTION("""COMPUTED_VALUE"""),"Corporate")</f>
        <v>Corporate</v>
      </c>
      <c r="E1993" s="26" t="str">
        <f>IFERROR(__xludf.DUMMYFUNCTION("""COMPUTED_VALUE"""),"Central")</f>
        <v>Central</v>
      </c>
      <c r="F1993" s="26">
        <f>IFERROR(__xludf.DUMMYFUNCTION("""COMPUTED_VALUE"""),29.372)</f>
        <v>29.372</v>
      </c>
      <c r="G1993" s="26">
        <f>IFERROR(__xludf.DUMMYFUNCTION("""COMPUTED_VALUE"""),7.0)</f>
        <v>7</v>
      </c>
      <c r="H1993" s="26">
        <f>IFERROR(__xludf.DUMMYFUNCTION("""COMPUTED_VALUE"""),-46.9952)</f>
        <v>-46.9952</v>
      </c>
    </row>
    <row r="1994">
      <c r="A1994" s="26" t="str">
        <f>IFERROR(__xludf.DUMMYFUNCTION("""COMPUTED_VALUE"""),"CA-2015-124499")</f>
        <v>CA-2015-124499</v>
      </c>
      <c r="B1994" s="27">
        <f>IFERROR(__xludf.DUMMYFUNCTION("""COMPUTED_VALUE"""),42286.0)</f>
        <v>42286</v>
      </c>
      <c r="C1994" s="26" t="str">
        <f>IFERROR(__xludf.DUMMYFUNCTION("""COMPUTED_VALUE"""),"Fred McMath")</f>
        <v>Fred McMath</v>
      </c>
      <c r="D1994" s="26" t="str">
        <f>IFERROR(__xludf.DUMMYFUNCTION("""COMPUTED_VALUE"""),"Consumer")</f>
        <v>Consumer</v>
      </c>
      <c r="E1994" s="26" t="str">
        <f>IFERROR(__xludf.DUMMYFUNCTION("""COMPUTED_VALUE"""),"Central")</f>
        <v>Central</v>
      </c>
      <c r="F1994" s="26">
        <f>IFERROR(__xludf.DUMMYFUNCTION("""COMPUTED_VALUE"""),389.97)</f>
        <v>389.97</v>
      </c>
      <c r="G1994" s="26">
        <f>IFERROR(__xludf.DUMMYFUNCTION("""COMPUTED_VALUE"""),3.0)</f>
        <v>3</v>
      </c>
      <c r="H1994" s="26">
        <f>IFERROR(__xludf.DUMMYFUNCTION("""COMPUTED_VALUE"""),35.0973)</f>
        <v>35.0973</v>
      </c>
    </row>
    <row r="1995">
      <c r="A1995" s="26" t="str">
        <f>IFERROR(__xludf.DUMMYFUNCTION("""COMPUTED_VALUE"""),"US-2015-163433")</f>
        <v>US-2015-163433</v>
      </c>
      <c r="B1995" s="27">
        <f>IFERROR(__xludf.DUMMYFUNCTION("""COMPUTED_VALUE"""),42112.0)</f>
        <v>42112</v>
      </c>
      <c r="C1995" s="26" t="str">
        <f>IFERROR(__xludf.DUMMYFUNCTION("""COMPUTED_VALUE"""),"Michael Paige")</f>
        <v>Michael Paige</v>
      </c>
      <c r="D1995" s="26" t="str">
        <f>IFERROR(__xludf.DUMMYFUNCTION("""COMPUTED_VALUE"""),"Corporate")</f>
        <v>Corporate</v>
      </c>
      <c r="E1995" s="26" t="str">
        <f>IFERROR(__xludf.DUMMYFUNCTION("""COMPUTED_VALUE"""),"Central")</f>
        <v>Central</v>
      </c>
      <c r="F1995" s="26">
        <f>IFERROR(__xludf.DUMMYFUNCTION("""COMPUTED_VALUE"""),41.424)</f>
        <v>41.424</v>
      </c>
      <c r="G1995" s="26">
        <f>IFERROR(__xludf.DUMMYFUNCTION("""COMPUTED_VALUE"""),2.0)</f>
        <v>2</v>
      </c>
      <c r="H1995" s="26">
        <f>IFERROR(__xludf.DUMMYFUNCTION("""COMPUTED_VALUE"""),8.2848)</f>
        <v>8.2848</v>
      </c>
    </row>
    <row r="1996">
      <c r="A1996" s="26" t="str">
        <f>IFERROR(__xludf.DUMMYFUNCTION("""COMPUTED_VALUE"""),"CA-2015-111948")</f>
        <v>CA-2015-111948</v>
      </c>
      <c r="B1996" s="27">
        <f>IFERROR(__xludf.DUMMYFUNCTION("""COMPUTED_VALUE"""),42319.0)</f>
        <v>42319</v>
      </c>
      <c r="C1996" s="26" t="str">
        <f>IFERROR(__xludf.DUMMYFUNCTION("""COMPUTED_VALUE"""),"Andrew Gjertsen")</f>
        <v>Andrew Gjertsen</v>
      </c>
      <c r="D1996" s="26" t="str">
        <f>IFERROR(__xludf.DUMMYFUNCTION("""COMPUTED_VALUE"""),"Corporate")</f>
        <v>Corporate</v>
      </c>
      <c r="E1996" s="26" t="str">
        <f>IFERROR(__xludf.DUMMYFUNCTION("""COMPUTED_VALUE"""),"Central")</f>
        <v>Central</v>
      </c>
      <c r="F1996" s="26">
        <f>IFERROR(__xludf.DUMMYFUNCTION("""COMPUTED_VALUE"""),418.32)</f>
        <v>418.32</v>
      </c>
      <c r="G1996" s="26">
        <f>IFERROR(__xludf.DUMMYFUNCTION("""COMPUTED_VALUE"""),7.0)</f>
        <v>7</v>
      </c>
      <c r="H1996" s="26">
        <f>IFERROR(__xludf.DUMMYFUNCTION("""COMPUTED_VALUE"""),117.1296)</f>
        <v>117.1296</v>
      </c>
    </row>
    <row r="1997">
      <c r="A1997" s="26" t="str">
        <f>IFERROR(__xludf.DUMMYFUNCTION("""COMPUTED_VALUE"""),"CA-2015-110324")</f>
        <v>CA-2015-110324</v>
      </c>
      <c r="B1997" s="27">
        <f>IFERROR(__xludf.DUMMYFUNCTION("""COMPUTED_VALUE"""),42339.0)</f>
        <v>42339</v>
      </c>
      <c r="C1997" s="26" t="str">
        <f>IFERROR(__xludf.DUMMYFUNCTION("""COMPUTED_VALUE"""),"Matt Abelman")</f>
        <v>Matt Abelman</v>
      </c>
      <c r="D1997" s="26" t="str">
        <f>IFERROR(__xludf.DUMMYFUNCTION("""COMPUTED_VALUE"""),"Home Office")</f>
        <v>Home Office</v>
      </c>
      <c r="E1997" s="26" t="str">
        <f>IFERROR(__xludf.DUMMYFUNCTION("""COMPUTED_VALUE"""),"Central")</f>
        <v>Central</v>
      </c>
      <c r="F1997" s="26">
        <f>IFERROR(__xludf.DUMMYFUNCTION("""COMPUTED_VALUE"""),19.44)</f>
        <v>19.44</v>
      </c>
      <c r="G1997" s="26">
        <f>IFERROR(__xludf.DUMMYFUNCTION("""COMPUTED_VALUE"""),3.0)</f>
        <v>3</v>
      </c>
      <c r="H1997" s="26">
        <f>IFERROR(__xludf.DUMMYFUNCTION("""COMPUTED_VALUE"""),9.3312)</f>
        <v>9.3312</v>
      </c>
    </row>
    <row r="1998">
      <c r="A1998" s="26" t="str">
        <f>IFERROR(__xludf.DUMMYFUNCTION("""COMPUTED_VALUE"""),"CA-2015-163734")</f>
        <v>CA-2015-163734</v>
      </c>
      <c r="B1998" s="27">
        <f>IFERROR(__xludf.DUMMYFUNCTION("""COMPUTED_VALUE"""),42174.0)</f>
        <v>42174</v>
      </c>
      <c r="C1998" s="26" t="str">
        <f>IFERROR(__xludf.DUMMYFUNCTION("""COMPUTED_VALUE"""),"Katherine Murray")</f>
        <v>Katherine Murray</v>
      </c>
      <c r="D1998" s="26" t="str">
        <f>IFERROR(__xludf.DUMMYFUNCTION("""COMPUTED_VALUE"""),"Home Office")</f>
        <v>Home Office</v>
      </c>
      <c r="E1998" s="26" t="str">
        <f>IFERROR(__xludf.DUMMYFUNCTION("""COMPUTED_VALUE"""),"Central")</f>
        <v>Central</v>
      </c>
      <c r="F1998" s="26">
        <f>IFERROR(__xludf.DUMMYFUNCTION("""COMPUTED_VALUE"""),228.92)</f>
        <v>228.92</v>
      </c>
      <c r="G1998" s="26">
        <f>IFERROR(__xludf.DUMMYFUNCTION("""COMPUTED_VALUE"""),5.0)</f>
        <v>5</v>
      </c>
      <c r="H1998" s="26">
        <f>IFERROR(__xludf.DUMMYFUNCTION("""COMPUTED_VALUE"""),14.3075)</f>
        <v>14.3075</v>
      </c>
    </row>
    <row r="1999">
      <c r="A1999" s="26" t="str">
        <f>IFERROR(__xludf.DUMMYFUNCTION("""COMPUTED_VALUE"""),"CA-2015-166219")</f>
        <v>CA-2015-166219</v>
      </c>
      <c r="B1999" s="27">
        <f>IFERROR(__xludf.DUMMYFUNCTION("""COMPUTED_VALUE"""),42244.0)</f>
        <v>42244</v>
      </c>
      <c r="C1999" s="26" t="str">
        <f>IFERROR(__xludf.DUMMYFUNCTION("""COMPUTED_VALUE"""),"Ben Peterman")</f>
        <v>Ben Peterman</v>
      </c>
      <c r="D1999" s="26" t="str">
        <f>IFERROR(__xludf.DUMMYFUNCTION("""COMPUTED_VALUE"""),"Corporate")</f>
        <v>Corporate</v>
      </c>
      <c r="E1999" s="26" t="str">
        <f>IFERROR(__xludf.DUMMYFUNCTION("""COMPUTED_VALUE"""),"Central")</f>
        <v>Central</v>
      </c>
      <c r="F1999" s="26">
        <f>IFERROR(__xludf.DUMMYFUNCTION("""COMPUTED_VALUE"""),1099.96)</f>
        <v>1099.96</v>
      </c>
      <c r="G1999" s="26">
        <f>IFERROR(__xludf.DUMMYFUNCTION("""COMPUTED_VALUE"""),5.0)</f>
        <v>5</v>
      </c>
      <c r="H1999" s="26">
        <f>IFERROR(__xludf.DUMMYFUNCTION("""COMPUTED_VALUE"""),82.497)</f>
        <v>82.497</v>
      </c>
    </row>
    <row r="2000">
      <c r="A2000" s="26" t="str">
        <f>IFERROR(__xludf.DUMMYFUNCTION("""COMPUTED_VALUE"""),"CA-2015-104052")</f>
        <v>CA-2015-104052</v>
      </c>
      <c r="B2000" s="27">
        <f>IFERROR(__xludf.DUMMYFUNCTION("""COMPUTED_VALUE"""),42064.0)</f>
        <v>42064</v>
      </c>
      <c r="C2000" s="26" t="str">
        <f>IFERROR(__xludf.DUMMYFUNCTION("""COMPUTED_VALUE"""),"Tracy Poddar")</f>
        <v>Tracy Poddar</v>
      </c>
      <c r="D2000" s="26" t="str">
        <f>IFERROR(__xludf.DUMMYFUNCTION("""COMPUTED_VALUE"""),"Corporate")</f>
        <v>Corporate</v>
      </c>
      <c r="E2000" s="26" t="str">
        <f>IFERROR(__xludf.DUMMYFUNCTION("""COMPUTED_VALUE"""),"Central")</f>
        <v>Central</v>
      </c>
      <c r="F2000" s="26">
        <f>IFERROR(__xludf.DUMMYFUNCTION("""COMPUTED_VALUE"""),95.84)</f>
        <v>95.84</v>
      </c>
      <c r="G2000" s="26">
        <f>IFERROR(__xludf.DUMMYFUNCTION("""COMPUTED_VALUE"""),4.0)</f>
        <v>4</v>
      </c>
      <c r="H2000" s="26">
        <f>IFERROR(__xludf.DUMMYFUNCTION("""COMPUTED_VALUE"""),34.742)</f>
        <v>34.742</v>
      </c>
    </row>
    <row r="2001">
      <c r="A2001" s="26" t="str">
        <f>IFERROR(__xludf.DUMMYFUNCTION("""COMPUTED_VALUE"""),"CA-2015-168277")</f>
        <v>CA-2015-168277</v>
      </c>
      <c r="B2001" s="27">
        <f>IFERROR(__xludf.DUMMYFUNCTION("""COMPUTED_VALUE"""),42153.0)</f>
        <v>42153</v>
      </c>
      <c r="C2001" s="26" t="str">
        <f>IFERROR(__xludf.DUMMYFUNCTION("""COMPUTED_VALUE"""),"Karl Braun")</f>
        <v>Karl Braun</v>
      </c>
      <c r="D2001" s="26" t="str">
        <f>IFERROR(__xludf.DUMMYFUNCTION("""COMPUTED_VALUE"""),"Consumer")</f>
        <v>Consumer</v>
      </c>
      <c r="E2001" s="26" t="str">
        <f>IFERROR(__xludf.DUMMYFUNCTION("""COMPUTED_VALUE"""),"Central")</f>
        <v>Central</v>
      </c>
      <c r="F2001" s="26">
        <f>IFERROR(__xludf.DUMMYFUNCTION("""COMPUTED_VALUE"""),12.39)</f>
        <v>12.39</v>
      </c>
      <c r="G2001" s="26">
        <f>IFERROR(__xludf.DUMMYFUNCTION("""COMPUTED_VALUE"""),3.0)</f>
        <v>3</v>
      </c>
      <c r="H2001" s="26">
        <f>IFERROR(__xludf.DUMMYFUNCTION("""COMPUTED_VALUE"""),5.6994)</f>
        <v>5.6994</v>
      </c>
    </row>
    <row r="2002">
      <c r="A2002" s="26" t="str">
        <f>IFERROR(__xludf.DUMMYFUNCTION("""COMPUTED_VALUE"""),"CA-2015-100818")</f>
        <v>CA-2015-100818</v>
      </c>
      <c r="B2002" s="27">
        <f>IFERROR(__xludf.DUMMYFUNCTION("""COMPUTED_VALUE"""),42155.0)</f>
        <v>42155</v>
      </c>
      <c r="C2002" s="26" t="str">
        <f>IFERROR(__xludf.DUMMYFUNCTION("""COMPUTED_VALUE"""),"Janet Molinari")</f>
        <v>Janet Molinari</v>
      </c>
      <c r="D2002" s="26" t="str">
        <f>IFERROR(__xludf.DUMMYFUNCTION("""COMPUTED_VALUE"""),"Corporate")</f>
        <v>Corporate</v>
      </c>
      <c r="E2002" s="26" t="str">
        <f>IFERROR(__xludf.DUMMYFUNCTION("""COMPUTED_VALUE"""),"Central")</f>
        <v>Central</v>
      </c>
      <c r="F2002" s="26">
        <f>IFERROR(__xludf.DUMMYFUNCTION("""COMPUTED_VALUE"""),5.904)</f>
        <v>5.904</v>
      </c>
      <c r="G2002" s="26">
        <f>IFERROR(__xludf.DUMMYFUNCTION("""COMPUTED_VALUE"""),2.0)</f>
        <v>2</v>
      </c>
      <c r="H2002" s="26">
        <f>IFERROR(__xludf.DUMMYFUNCTION("""COMPUTED_VALUE"""),1.9926)</f>
        <v>1.9926</v>
      </c>
    </row>
    <row r="2003">
      <c r="A2003" s="26" t="str">
        <f>IFERROR(__xludf.DUMMYFUNCTION("""COMPUTED_VALUE"""),"CA-2015-135251")</f>
        <v>CA-2015-135251</v>
      </c>
      <c r="B2003" s="27">
        <f>IFERROR(__xludf.DUMMYFUNCTION("""COMPUTED_VALUE"""),42222.0)</f>
        <v>42222</v>
      </c>
      <c r="C2003" s="26" t="str">
        <f>IFERROR(__xludf.DUMMYFUNCTION("""COMPUTED_VALUE"""),"Rachel Payne")</f>
        <v>Rachel Payne</v>
      </c>
      <c r="D2003" s="26" t="str">
        <f>IFERROR(__xludf.DUMMYFUNCTION("""COMPUTED_VALUE"""),"Corporate")</f>
        <v>Corporate</v>
      </c>
      <c r="E2003" s="26" t="str">
        <f>IFERROR(__xludf.DUMMYFUNCTION("""COMPUTED_VALUE"""),"Central")</f>
        <v>Central</v>
      </c>
      <c r="F2003" s="26">
        <f>IFERROR(__xludf.DUMMYFUNCTION("""COMPUTED_VALUE"""),35.52)</f>
        <v>35.52</v>
      </c>
      <c r="G2003" s="26">
        <f>IFERROR(__xludf.DUMMYFUNCTION("""COMPUTED_VALUE"""),3.0)</f>
        <v>3</v>
      </c>
      <c r="H2003" s="26">
        <f>IFERROR(__xludf.DUMMYFUNCTION("""COMPUTED_VALUE"""),13.32)</f>
        <v>13.32</v>
      </c>
    </row>
    <row r="2004">
      <c r="A2004" s="26" t="str">
        <f>IFERROR(__xludf.DUMMYFUNCTION("""COMPUTED_VALUE"""),"CA-2015-143147")</f>
        <v>CA-2015-143147</v>
      </c>
      <c r="B2004" s="27">
        <f>IFERROR(__xludf.DUMMYFUNCTION("""COMPUTED_VALUE"""),42150.0)</f>
        <v>42150</v>
      </c>
      <c r="C2004" s="26" t="str">
        <f>IFERROR(__xludf.DUMMYFUNCTION("""COMPUTED_VALUE"""),"Pamela Stobb")</f>
        <v>Pamela Stobb</v>
      </c>
      <c r="D2004" s="26" t="str">
        <f>IFERROR(__xludf.DUMMYFUNCTION("""COMPUTED_VALUE"""),"Consumer")</f>
        <v>Consumer</v>
      </c>
      <c r="E2004" s="26" t="str">
        <f>IFERROR(__xludf.DUMMYFUNCTION("""COMPUTED_VALUE"""),"Central")</f>
        <v>Central</v>
      </c>
      <c r="F2004" s="26">
        <f>IFERROR(__xludf.DUMMYFUNCTION("""COMPUTED_VALUE"""),105.686)</f>
        <v>105.686</v>
      </c>
      <c r="G2004" s="26">
        <f>IFERROR(__xludf.DUMMYFUNCTION("""COMPUTED_VALUE"""),1.0)</f>
        <v>1</v>
      </c>
      <c r="H2004" s="26">
        <f>IFERROR(__xludf.DUMMYFUNCTION("""COMPUTED_VALUE"""),-28.6862)</f>
        <v>-28.6862</v>
      </c>
    </row>
    <row r="2005">
      <c r="A2005" s="26" t="str">
        <f>IFERROR(__xludf.DUMMYFUNCTION("""COMPUTED_VALUE"""),"CA-2015-130183")</f>
        <v>CA-2015-130183</v>
      </c>
      <c r="B2005" s="27">
        <f>IFERROR(__xludf.DUMMYFUNCTION("""COMPUTED_VALUE"""),42321.0)</f>
        <v>42321</v>
      </c>
      <c r="C2005" s="26" t="str">
        <f>IFERROR(__xludf.DUMMYFUNCTION("""COMPUTED_VALUE"""),"Patrick O'Brill")</f>
        <v>Patrick O'Brill</v>
      </c>
      <c r="D2005" s="26" t="str">
        <f>IFERROR(__xludf.DUMMYFUNCTION("""COMPUTED_VALUE"""),"Consumer")</f>
        <v>Consumer</v>
      </c>
      <c r="E2005" s="26" t="str">
        <f>IFERROR(__xludf.DUMMYFUNCTION("""COMPUTED_VALUE"""),"Central")</f>
        <v>Central</v>
      </c>
      <c r="F2005" s="26">
        <f>IFERROR(__xludf.DUMMYFUNCTION("""COMPUTED_VALUE"""),613.9992)</f>
        <v>613.9992</v>
      </c>
      <c r="G2005" s="26">
        <f>IFERROR(__xludf.DUMMYFUNCTION("""COMPUTED_VALUE"""),3.0)</f>
        <v>3</v>
      </c>
      <c r="H2005" s="26">
        <f>IFERROR(__xludf.DUMMYFUNCTION("""COMPUTED_VALUE"""),-18.0588)</f>
        <v>-18.0588</v>
      </c>
    </row>
    <row r="2006">
      <c r="A2006" s="26" t="str">
        <f>IFERROR(__xludf.DUMMYFUNCTION("""COMPUTED_VALUE"""),"CA-2015-117898")</f>
        <v>CA-2015-117898</v>
      </c>
      <c r="B2006" s="27">
        <f>IFERROR(__xludf.DUMMYFUNCTION("""COMPUTED_VALUE"""),42343.0)</f>
        <v>42343</v>
      </c>
      <c r="C2006" s="26" t="str">
        <f>IFERROR(__xludf.DUMMYFUNCTION("""COMPUTED_VALUE"""),"Tim Brockman")</f>
        <v>Tim Brockman</v>
      </c>
      <c r="D2006" s="26" t="str">
        <f>IFERROR(__xludf.DUMMYFUNCTION("""COMPUTED_VALUE"""),"Consumer")</f>
        <v>Consumer</v>
      </c>
      <c r="E2006" s="26" t="str">
        <f>IFERROR(__xludf.DUMMYFUNCTION("""COMPUTED_VALUE"""),"Central")</f>
        <v>Central</v>
      </c>
      <c r="F2006" s="26">
        <f>IFERROR(__xludf.DUMMYFUNCTION("""COMPUTED_VALUE"""),12.224)</f>
        <v>12.224</v>
      </c>
      <c r="G2006" s="26">
        <f>IFERROR(__xludf.DUMMYFUNCTION("""COMPUTED_VALUE"""),2.0)</f>
        <v>2</v>
      </c>
      <c r="H2006" s="26">
        <f>IFERROR(__xludf.DUMMYFUNCTION("""COMPUTED_VALUE"""),4.4312)</f>
        <v>4.4312</v>
      </c>
    </row>
    <row r="2007">
      <c r="A2007" s="26" t="str">
        <f>IFERROR(__xludf.DUMMYFUNCTION("""COMPUTED_VALUE"""),"US-2015-100069")</f>
        <v>US-2015-100069</v>
      </c>
      <c r="B2007" s="27">
        <f>IFERROR(__xludf.DUMMYFUNCTION("""COMPUTED_VALUE"""),42184.0)</f>
        <v>42184</v>
      </c>
      <c r="C2007" s="26" t="str">
        <f>IFERROR(__xludf.DUMMYFUNCTION("""COMPUTED_VALUE"""),"Neil Französisch")</f>
        <v>Neil Französisch</v>
      </c>
      <c r="D2007" s="26" t="str">
        <f>IFERROR(__xludf.DUMMYFUNCTION("""COMPUTED_VALUE"""),"Home Office")</f>
        <v>Home Office</v>
      </c>
      <c r="E2007" s="26" t="str">
        <f>IFERROR(__xludf.DUMMYFUNCTION("""COMPUTED_VALUE"""),"Central")</f>
        <v>Central</v>
      </c>
      <c r="F2007" s="26">
        <f>IFERROR(__xludf.DUMMYFUNCTION("""COMPUTED_VALUE"""),269.98)</f>
        <v>269.98</v>
      </c>
      <c r="G2007" s="26">
        <f>IFERROR(__xludf.DUMMYFUNCTION("""COMPUTED_VALUE"""),2.0)</f>
        <v>2</v>
      </c>
      <c r="H2007" s="26">
        <f>IFERROR(__xludf.DUMMYFUNCTION("""COMPUTED_VALUE"""),72.8946)</f>
        <v>72.8946</v>
      </c>
    </row>
    <row r="2008">
      <c r="A2008" s="26" t="str">
        <f>IFERROR(__xludf.DUMMYFUNCTION("""COMPUTED_VALUE"""),"CA-2015-168088")</f>
        <v>CA-2015-168088</v>
      </c>
      <c r="B2008" s="27">
        <f>IFERROR(__xludf.DUMMYFUNCTION("""COMPUTED_VALUE"""),42082.0)</f>
        <v>42082</v>
      </c>
      <c r="C2008" s="26" t="str">
        <f>IFERROR(__xludf.DUMMYFUNCTION("""COMPUTED_VALUE"""),"Corinna Mitchell")</f>
        <v>Corinna Mitchell</v>
      </c>
      <c r="D2008" s="26" t="str">
        <f>IFERROR(__xludf.DUMMYFUNCTION("""COMPUTED_VALUE"""),"Home Office")</f>
        <v>Home Office</v>
      </c>
      <c r="E2008" s="26" t="str">
        <f>IFERROR(__xludf.DUMMYFUNCTION("""COMPUTED_VALUE"""),"Central")</f>
        <v>Central</v>
      </c>
      <c r="F2008" s="26">
        <f>IFERROR(__xludf.DUMMYFUNCTION("""COMPUTED_VALUE"""),65.584)</f>
        <v>65.584</v>
      </c>
      <c r="G2008" s="26">
        <f>IFERROR(__xludf.DUMMYFUNCTION("""COMPUTED_VALUE"""),2.0)</f>
        <v>2</v>
      </c>
      <c r="H2008" s="26">
        <f>IFERROR(__xludf.DUMMYFUNCTION("""COMPUTED_VALUE"""),23.7742)</f>
        <v>23.7742</v>
      </c>
    </row>
  </sheetData>
  <autoFilter ref="$A$1:$H$2008"/>
  <hyperlinks>
    <hyperlink r:id="rId1" ref="K1"/>
    <hyperlink r:id="rId2" ref="K2"/>
    <hyperlink r:id="rId3" ref="K3"/>
    <hyperlink r:id="rId4" ref="K4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7.75"/>
    <col customWidth="1" min="3" max="3" width="22.88"/>
    <col customWidth="1" min="4" max="4" width="16.13"/>
    <col customWidth="1" min="5" max="5" width="10.13"/>
    <col customWidth="1" min="6" max="6" width="9.88"/>
    <col customWidth="1" min="7" max="7" width="12.0"/>
    <col customWidth="1" min="8" max="8" width="11.75"/>
  </cols>
  <sheetData>
    <row r="1">
      <c r="A1" s="30" t="s">
        <v>12</v>
      </c>
      <c r="B1" s="30" t="s">
        <v>13</v>
      </c>
      <c r="C1" s="30" t="s">
        <v>14</v>
      </c>
      <c r="D1" s="30" t="s">
        <v>15</v>
      </c>
      <c r="E1" s="30" t="s">
        <v>16</v>
      </c>
      <c r="F1" s="30" t="s">
        <v>17</v>
      </c>
      <c r="G1" s="30" t="s">
        <v>18</v>
      </c>
      <c r="H1" s="30" t="s">
        <v>19</v>
      </c>
      <c r="I1" s="31"/>
      <c r="J1" s="31"/>
    </row>
    <row r="2">
      <c r="A2" s="31" t="s">
        <v>26</v>
      </c>
      <c r="B2" s="32">
        <v>41799.0</v>
      </c>
      <c r="C2" s="31" t="s">
        <v>11</v>
      </c>
      <c r="D2" s="31" t="s">
        <v>27</v>
      </c>
      <c r="E2" s="31" t="s">
        <v>28</v>
      </c>
      <c r="F2" s="33">
        <v>48.86</v>
      </c>
      <c r="G2" s="33">
        <v>7.0</v>
      </c>
      <c r="H2" s="33">
        <v>14.1694</v>
      </c>
    </row>
    <row r="3">
      <c r="A3" s="31" t="s">
        <v>29</v>
      </c>
      <c r="B3" s="34">
        <v>41954.0</v>
      </c>
      <c r="C3" s="31" t="s">
        <v>11</v>
      </c>
      <c r="D3" s="31" t="s">
        <v>30</v>
      </c>
      <c r="E3" s="31" t="s">
        <v>31</v>
      </c>
      <c r="F3" s="33">
        <v>665.88</v>
      </c>
      <c r="G3" s="33">
        <v>6.0</v>
      </c>
      <c r="H3" s="33">
        <v>13.3176</v>
      </c>
    </row>
    <row r="4">
      <c r="A4" s="31" t="s">
        <v>32</v>
      </c>
      <c r="B4" s="32">
        <v>41772.0</v>
      </c>
      <c r="C4" s="31" t="s">
        <v>11</v>
      </c>
      <c r="D4" s="31" t="s">
        <v>33</v>
      </c>
      <c r="E4" s="31" t="s">
        <v>28</v>
      </c>
      <c r="F4" s="33">
        <v>55.5</v>
      </c>
      <c r="G4" s="33">
        <v>2.0</v>
      </c>
      <c r="H4" s="33">
        <v>9.99</v>
      </c>
    </row>
    <row r="5">
      <c r="A5" s="31" t="s">
        <v>34</v>
      </c>
      <c r="B5" s="32">
        <v>41878.0</v>
      </c>
      <c r="C5" s="31" t="s">
        <v>11</v>
      </c>
      <c r="D5" s="31" t="s">
        <v>27</v>
      </c>
      <c r="E5" s="31" t="s">
        <v>28</v>
      </c>
      <c r="F5" s="33">
        <v>8.56</v>
      </c>
      <c r="G5" s="33">
        <v>2.0</v>
      </c>
      <c r="H5" s="33">
        <v>2.4824</v>
      </c>
    </row>
    <row r="6">
      <c r="A6" s="31" t="s">
        <v>35</v>
      </c>
      <c r="B6" s="34">
        <v>41932.0</v>
      </c>
      <c r="C6" s="31" t="s">
        <v>11</v>
      </c>
      <c r="D6" s="31" t="s">
        <v>36</v>
      </c>
      <c r="E6" s="31" t="s">
        <v>31</v>
      </c>
      <c r="F6" s="33">
        <v>211.96</v>
      </c>
      <c r="G6" s="33">
        <v>4.0</v>
      </c>
      <c r="H6" s="33">
        <v>8.4784</v>
      </c>
    </row>
    <row r="7">
      <c r="A7" s="31" t="s">
        <v>37</v>
      </c>
      <c r="B7" s="32">
        <v>41978.0</v>
      </c>
      <c r="C7" s="31" t="s">
        <v>38</v>
      </c>
      <c r="D7" s="31" t="s">
        <v>39</v>
      </c>
      <c r="E7" s="31" t="s">
        <v>28</v>
      </c>
      <c r="F7" s="33">
        <v>1113.024</v>
      </c>
      <c r="G7" s="33">
        <v>8.0</v>
      </c>
      <c r="H7" s="33">
        <v>111.3024</v>
      </c>
    </row>
    <row r="8">
      <c r="A8" s="31" t="s">
        <v>40</v>
      </c>
      <c r="B8" s="34">
        <v>41969.0</v>
      </c>
      <c r="C8" s="31" t="s">
        <v>11</v>
      </c>
      <c r="D8" s="31" t="s">
        <v>41</v>
      </c>
      <c r="E8" s="31" t="s">
        <v>31</v>
      </c>
      <c r="F8" s="33">
        <v>19.3</v>
      </c>
      <c r="G8" s="33">
        <v>5.0</v>
      </c>
      <c r="H8" s="33">
        <v>-14.475</v>
      </c>
    </row>
    <row r="9">
      <c r="A9" s="31" t="s">
        <v>42</v>
      </c>
      <c r="B9" s="34">
        <v>41924.0</v>
      </c>
      <c r="C9" s="31" t="s">
        <v>11</v>
      </c>
      <c r="D9" s="31" t="s">
        <v>27</v>
      </c>
      <c r="E9" s="31" t="s">
        <v>28</v>
      </c>
      <c r="F9" s="33">
        <v>14.9</v>
      </c>
      <c r="G9" s="33">
        <v>5.0</v>
      </c>
      <c r="H9" s="33">
        <v>4.172</v>
      </c>
    </row>
    <row r="10">
      <c r="A10" s="31" t="s">
        <v>43</v>
      </c>
      <c r="B10" s="32">
        <v>41876.0</v>
      </c>
      <c r="C10" s="31" t="s">
        <v>11</v>
      </c>
      <c r="D10" s="31" t="s">
        <v>44</v>
      </c>
      <c r="E10" s="31" t="s">
        <v>45</v>
      </c>
      <c r="F10" s="33">
        <v>40.096</v>
      </c>
      <c r="G10" s="33">
        <v>14.0</v>
      </c>
      <c r="H10" s="33">
        <v>14.5348</v>
      </c>
    </row>
    <row r="11">
      <c r="A11" s="31" t="s">
        <v>46</v>
      </c>
      <c r="B11" s="34">
        <v>41999.0</v>
      </c>
      <c r="C11" s="31" t="s">
        <v>47</v>
      </c>
      <c r="D11" s="31" t="s">
        <v>41</v>
      </c>
      <c r="E11" s="31" t="s">
        <v>31</v>
      </c>
      <c r="F11" s="33">
        <v>600.558</v>
      </c>
      <c r="G11" s="33">
        <v>3.0</v>
      </c>
      <c r="H11" s="33">
        <v>-8.5794</v>
      </c>
    </row>
    <row r="12">
      <c r="A12" s="31" t="s">
        <v>48</v>
      </c>
      <c r="B12" s="32">
        <v>41902.0</v>
      </c>
      <c r="C12" s="31" t="s">
        <v>11</v>
      </c>
      <c r="D12" s="31" t="s">
        <v>49</v>
      </c>
      <c r="E12" s="31" t="s">
        <v>31</v>
      </c>
      <c r="F12" s="33">
        <v>617.7</v>
      </c>
      <c r="G12" s="33">
        <v>6.0</v>
      </c>
      <c r="H12" s="33">
        <v>-407.682</v>
      </c>
    </row>
    <row r="13">
      <c r="A13" s="31" t="s">
        <v>50</v>
      </c>
      <c r="B13" s="34">
        <v>41934.0</v>
      </c>
      <c r="C13" s="31" t="s">
        <v>47</v>
      </c>
      <c r="D13" s="31" t="s">
        <v>44</v>
      </c>
      <c r="E13" s="31" t="s">
        <v>45</v>
      </c>
      <c r="F13" s="33">
        <v>93.888</v>
      </c>
      <c r="G13" s="33">
        <v>4.0</v>
      </c>
      <c r="H13" s="33">
        <v>12.9096</v>
      </c>
    </row>
    <row r="14">
      <c r="A14" s="31" t="s">
        <v>51</v>
      </c>
      <c r="B14" s="32">
        <v>41699.0</v>
      </c>
      <c r="C14" s="31" t="s">
        <v>11</v>
      </c>
      <c r="D14" s="31" t="s">
        <v>52</v>
      </c>
      <c r="E14" s="31" t="s">
        <v>28</v>
      </c>
      <c r="F14" s="33">
        <v>457.568</v>
      </c>
      <c r="G14" s="33">
        <v>2.0</v>
      </c>
      <c r="H14" s="33">
        <v>51.4764</v>
      </c>
    </row>
    <row r="15">
      <c r="A15" s="31" t="s">
        <v>53</v>
      </c>
      <c r="B15" s="32">
        <v>41890.0</v>
      </c>
      <c r="C15" s="31" t="s">
        <v>11</v>
      </c>
      <c r="D15" s="31" t="s">
        <v>41</v>
      </c>
      <c r="E15" s="31" t="s">
        <v>31</v>
      </c>
      <c r="F15" s="33">
        <v>9.936</v>
      </c>
      <c r="G15" s="33">
        <v>3.0</v>
      </c>
      <c r="H15" s="33">
        <v>2.7324</v>
      </c>
    </row>
    <row r="16">
      <c r="A16" s="31" t="s">
        <v>54</v>
      </c>
      <c r="B16" s="32">
        <v>41856.0</v>
      </c>
      <c r="C16" s="31" t="s">
        <v>11</v>
      </c>
      <c r="D16" s="31" t="s">
        <v>27</v>
      </c>
      <c r="E16" s="31" t="s">
        <v>28</v>
      </c>
      <c r="F16" s="33">
        <v>20.94</v>
      </c>
      <c r="G16" s="33">
        <v>3.0</v>
      </c>
      <c r="H16" s="33">
        <v>9.8418</v>
      </c>
    </row>
    <row r="17">
      <c r="A17" s="31" t="s">
        <v>55</v>
      </c>
      <c r="B17" s="32">
        <v>41896.0</v>
      </c>
      <c r="C17" s="31" t="s">
        <v>38</v>
      </c>
      <c r="D17" s="31" t="s">
        <v>49</v>
      </c>
      <c r="E17" s="31" t="s">
        <v>31</v>
      </c>
      <c r="F17" s="33">
        <v>52.448</v>
      </c>
      <c r="G17" s="33">
        <v>2.0</v>
      </c>
      <c r="H17" s="33">
        <v>-131.12</v>
      </c>
    </row>
    <row r="18">
      <c r="A18" s="31" t="s">
        <v>56</v>
      </c>
      <c r="B18" s="32">
        <v>41978.0</v>
      </c>
      <c r="C18" s="31" t="s">
        <v>38</v>
      </c>
      <c r="D18" s="31" t="s">
        <v>49</v>
      </c>
      <c r="E18" s="31" t="s">
        <v>31</v>
      </c>
      <c r="F18" s="33">
        <v>24.816</v>
      </c>
      <c r="G18" s="33">
        <v>2.0</v>
      </c>
      <c r="H18" s="33">
        <v>1.8612</v>
      </c>
    </row>
    <row r="19">
      <c r="A19" s="31" t="s">
        <v>57</v>
      </c>
      <c r="B19" s="34">
        <v>41962.0</v>
      </c>
      <c r="C19" s="31" t="s">
        <v>47</v>
      </c>
      <c r="D19" s="31" t="s">
        <v>58</v>
      </c>
      <c r="E19" s="31" t="s">
        <v>59</v>
      </c>
      <c r="F19" s="33">
        <v>503.96</v>
      </c>
      <c r="G19" s="33">
        <v>4.0</v>
      </c>
      <c r="H19" s="33">
        <v>131.0296</v>
      </c>
    </row>
    <row r="20">
      <c r="A20" s="31" t="s">
        <v>60</v>
      </c>
      <c r="B20" s="32">
        <v>41877.0</v>
      </c>
      <c r="C20" s="31" t="s">
        <v>47</v>
      </c>
      <c r="D20" s="31" t="s">
        <v>27</v>
      </c>
      <c r="E20" s="31" t="s">
        <v>28</v>
      </c>
      <c r="F20" s="33">
        <v>176.8</v>
      </c>
      <c r="G20" s="33">
        <v>8.0</v>
      </c>
      <c r="H20" s="33">
        <v>22.984</v>
      </c>
    </row>
    <row r="21">
      <c r="A21" s="31" t="s">
        <v>61</v>
      </c>
      <c r="B21" s="32">
        <v>41719.0</v>
      </c>
      <c r="C21" s="31" t="s">
        <v>11</v>
      </c>
      <c r="D21" s="31" t="s">
        <v>44</v>
      </c>
      <c r="E21" s="31" t="s">
        <v>45</v>
      </c>
      <c r="F21" s="33">
        <v>7.408</v>
      </c>
      <c r="G21" s="33">
        <v>2.0</v>
      </c>
      <c r="H21" s="33">
        <v>1.2038</v>
      </c>
    </row>
    <row r="22">
      <c r="A22" s="31" t="s">
        <v>62</v>
      </c>
      <c r="B22" s="32">
        <v>41854.0</v>
      </c>
      <c r="C22" s="31" t="s">
        <v>11</v>
      </c>
      <c r="D22" s="31" t="s">
        <v>63</v>
      </c>
      <c r="E22" s="31" t="s">
        <v>28</v>
      </c>
      <c r="F22" s="33">
        <v>218.75</v>
      </c>
      <c r="G22" s="33">
        <v>2.0</v>
      </c>
      <c r="H22" s="33">
        <v>-161.875</v>
      </c>
    </row>
    <row r="23">
      <c r="A23" s="31" t="s">
        <v>64</v>
      </c>
      <c r="B23" s="32">
        <v>41895.0</v>
      </c>
      <c r="C23" s="31" t="s">
        <v>38</v>
      </c>
      <c r="D23" s="31" t="s">
        <v>65</v>
      </c>
      <c r="E23" s="31" t="s">
        <v>59</v>
      </c>
      <c r="F23" s="33">
        <v>18.648</v>
      </c>
      <c r="G23" s="33">
        <v>7.0</v>
      </c>
      <c r="H23" s="33">
        <v>-12.432</v>
      </c>
    </row>
    <row r="24">
      <c r="A24" s="31" t="s">
        <v>66</v>
      </c>
      <c r="B24" s="32">
        <v>41791.0</v>
      </c>
      <c r="C24" s="31" t="s">
        <v>47</v>
      </c>
      <c r="D24" s="31" t="s">
        <v>67</v>
      </c>
      <c r="E24" s="31" t="s">
        <v>31</v>
      </c>
      <c r="F24" s="33">
        <v>2001.86</v>
      </c>
      <c r="G24" s="33">
        <v>7.0</v>
      </c>
      <c r="H24" s="33">
        <v>580.5394</v>
      </c>
    </row>
    <row r="25">
      <c r="A25" s="31" t="s">
        <v>68</v>
      </c>
      <c r="B25" s="32">
        <v>41901.0</v>
      </c>
      <c r="C25" s="31" t="s">
        <v>38</v>
      </c>
      <c r="D25" s="31" t="s">
        <v>41</v>
      </c>
      <c r="E25" s="31" t="s">
        <v>31</v>
      </c>
      <c r="F25" s="33">
        <v>3059.982</v>
      </c>
      <c r="G25" s="33">
        <v>3.0</v>
      </c>
      <c r="H25" s="33">
        <v>-509.997</v>
      </c>
    </row>
    <row r="26">
      <c r="A26" s="31" t="s">
        <v>69</v>
      </c>
      <c r="B26" s="34">
        <v>41999.0</v>
      </c>
      <c r="C26" s="31" t="s">
        <v>38</v>
      </c>
      <c r="D26" s="31" t="s">
        <v>63</v>
      </c>
      <c r="E26" s="31" t="s">
        <v>28</v>
      </c>
      <c r="F26" s="33">
        <v>300.416</v>
      </c>
      <c r="G26" s="33">
        <v>8.0</v>
      </c>
      <c r="H26" s="33">
        <v>78.8592</v>
      </c>
    </row>
    <row r="27">
      <c r="A27" s="31" t="s">
        <v>70</v>
      </c>
      <c r="B27" s="34">
        <v>42003.0</v>
      </c>
      <c r="C27" s="31" t="s">
        <v>38</v>
      </c>
      <c r="D27" s="31" t="s">
        <v>36</v>
      </c>
      <c r="E27" s="31" t="s">
        <v>31</v>
      </c>
      <c r="F27" s="33">
        <v>9.84</v>
      </c>
      <c r="G27" s="33">
        <v>3.0</v>
      </c>
      <c r="H27" s="33">
        <v>2.8536</v>
      </c>
    </row>
    <row r="28">
      <c r="A28" s="31" t="s">
        <v>71</v>
      </c>
      <c r="B28" s="32">
        <v>41791.0</v>
      </c>
      <c r="C28" s="31" t="s">
        <v>47</v>
      </c>
      <c r="D28" s="31" t="s">
        <v>72</v>
      </c>
      <c r="E28" s="31" t="s">
        <v>45</v>
      </c>
      <c r="F28" s="33">
        <v>45.48</v>
      </c>
      <c r="G28" s="33">
        <v>3.0</v>
      </c>
      <c r="H28" s="33">
        <v>20.9208</v>
      </c>
    </row>
    <row r="29">
      <c r="A29" s="31" t="s">
        <v>73</v>
      </c>
      <c r="B29" s="32">
        <v>41909.0</v>
      </c>
      <c r="C29" s="31" t="s">
        <v>38</v>
      </c>
      <c r="D29" s="31" t="s">
        <v>72</v>
      </c>
      <c r="E29" s="31" t="s">
        <v>45</v>
      </c>
      <c r="F29" s="33">
        <v>87.54</v>
      </c>
      <c r="G29" s="33">
        <v>3.0</v>
      </c>
      <c r="H29" s="33">
        <v>37.6422</v>
      </c>
    </row>
    <row r="30">
      <c r="A30" s="31" t="s">
        <v>74</v>
      </c>
      <c r="B30" s="32">
        <v>41860.0</v>
      </c>
      <c r="C30" s="31" t="s">
        <v>38</v>
      </c>
      <c r="D30" s="31" t="s">
        <v>75</v>
      </c>
      <c r="E30" s="31" t="s">
        <v>59</v>
      </c>
      <c r="F30" s="33">
        <v>178.384</v>
      </c>
      <c r="G30" s="33">
        <v>2.0</v>
      </c>
      <c r="H30" s="33">
        <v>22.298</v>
      </c>
    </row>
    <row r="31">
      <c r="A31" s="31" t="s">
        <v>76</v>
      </c>
      <c r="B31" s="34">
        <v>42001.0</v>
      </c>
      <c r="C31" s="31" t="s">
        <v>38</v>
      </c>
      <c r="D31" s="31" t="s">
        <v>77</v>
      </c>
      <c r="E31" s="31" t="s">
        <v>45</v>
      </c>
      <c r="F31" s="33">
        <v>99.136</v>
      </c>
      <c r="G31" s="33">
        <v>4.0</v>
      </c>
      <c r="H31" s="33">
        <v>8.6744</v>
      </c>
    </row>
    <row r="32">
      <c r="A32" s="31" t="s">
        <v>78</v>
      </c>
      <c r="B32" s="32">
        <v>41947.0</v>
      </c>
      <c r="C32" s="31" t="s">
        <v>47</v>
      </c>
      <c r="D32" s="31" t="s">
        <v>79</v>
      </c>
      <c r="E32" s="31" t="s">
        <v>45</v>
      </c>
      <c r="F32" s="33">
        <v>135.882</v>
      </c>
      <c r="G32" s="33">
        <v>1.0</v>
      </c>
      <c r="H32" s="33">
        <v>24.1568</v>
      </c>
    </row>
    <row r="33">
      <c r="A33" s="31" t="s">
        <v>80</v>
      </c>
      <c r="B33" s="32">
        <v>41901.0</v>
      </c>
      <c r="C33" s="31" t="s">
        <v>38</v>
      </c>
      <c r="D33" s="31" t="s">
        <v>27</v>
      </c>
      <c r="E33" s="31" t="s">
        <v>28</v>
      </c>
      <c r="F33" s="33">
        <v>7.16</v>
      </c>
      <c r="G33" s="33">
        <v>2.0</v>
      </c>
      <c r="H33" s="33">
        <v>3.58</v>
      </c>
    </row>
    <row r="34">
      <c r="A34" s="31" t="s">
        <v>81</v>
      </c>
      <c r="B34" s="32">
        <v>41832.0</v>
      </c>
      <c r="C34" s="31" t="s">
        <v>38</v>
      </c>
      <c r="D34" s="31" t="s">
        <v>27</v>
      </c>
      <c r="E34" s="31" t="s">
        <v>28</v>
      </c>
      <c r="F34" s="33">
        <v>7.712</v>
      </c>
      <c r="G34" s="33">
        <v>2.0</v>
      </c>
      <c r="H34" s="33">
        <v>2.7956</v>
      </c>
    </row>
    <row r="35">
      <c r="A35" s="31" t="s">
        <v>82</v>
      </c>
      <c r="B35" s="32">
        <v>41742.0</v>
      </c>
      <c r="C35" s="31" t="s">
        <v>38</v>
      </c>
      <c r="D35" s="31" t="s">
        <v>77</v>
      </c>
      <c r="E35" s="31" t="s">
        <v>45</v>
      </c>
      <c r="F35" s="33">
        <v>17.856</v>
      </c>
      <c r="G35" s="33">
        <v>4.0</v>
      </c>
      <c r="H35" s="33">
        <v>1.116</v>
      </c>
    </row>
    <row r="36">
      <c r="A36" s="31" t="s">
        <v>83</v>
      </c>
      <c r="B36" s="32">
        <v>41906.0</v>
      </c>
      <c r="C36" s="31" t="s">
        <v>11</v>
      </c>
      <c r="D36" s="31" t="s">
        <v>27</v>
      </c>
      <c r="E36" s="31" t="s">
        <v>28</v>
      </c>
      <c r="F36" s="33">
        <v>211.96</v>
      </c>
      <c r="G36" s="33">
        <v>4.0</v>
      </c>
      <c r="H36" s="33">
        <v>8.4784</v>
      </c>
    </row>
    <row r="37">
      <c r="A37" s="31" t="s">
        <v>84</v>
      </c>
      <c r="B37" s="32">
        <v>41843.0</v>
      </c>
      <c r="C37" s="31" t="s">
        <v>11</v>
      </c>
      <c r="D37" s="31" t="s">
        <v>39</v>
      </c>
      <c r="E37" s="31" t="s">
        <v>28</v>
      </c>
      <c r="F37" s="33">
        <v>8.16</v>
      </c>
      <c r="G37" s="33">
        <v>5.0</v>
      </c>
      <c r="H37" s="33">
        <v>-5.712</v>
      </c>
    </row>
    <row r="38">
      <c r="A38" s="31" t="s">
        <v>85</v>
      </c>
      <c r="B38" s="34">
        <v>41967.0</v>
      </c>
      <c r="C38" s="31" t="s">
        <v>11</v>
      </c>
      <c r="D38" s="31" t="s">
        <v>44</v>
      </c>
      <c r="E38" s="31" t="s">
        <v>45</v>
      </c>
      <c r="F38" s="33">
        <v>2.624</v>
      </c>
      <c r="G38" s="33">
        <v>1.0</v>
      </c>
      <c r="H38" s="33">
        <v>0.4264</v>
      </c>
    </row>
    <row r="39">
      <c r="A39" s="31" t="s">
        <v>86</v>
      </c>
      <c r="B39" s="32">
        <v>41903.0</v>
      </c>
      <c r="C39" s="31" t="s">
        <v>11</v>
      </c>
      <c r="D39" s="31" t="s">
        <v>52</v>
      </c>
      <c r="E39" s="31" t="s">
        <v>28</v>
      </c>
      <c r="F39" s="33">
        <v>246.384</v>
      </c>
      <c r="G39" s="33">
        <v>2.0</v>
      </c>
      <c r="H39" s="33">
        <v>27.7182</v>
      </c>
    </row>
    <row r="40">
      <c r="A40" s="31" t="s">
        <v>87</v>
      </c>
      <c r="B40" s="32">
        <v>41797.0</v>
      </c>
      <c r="C40" s="31" t="s">
        <v>38</v>
      </c>
      <c r="D40" s="31" t="s">
        <v>49</v>
      </c>
      <c r="E40" s="31" t="s">
        <v>31</v>
      </c>
      <c r="F40" s="33">
        <v>12.462</v>
      </c>
      <c r="G40" s="33">
        <v>3.0</v>
      </c>
      <c r="H40" s="33">
        <v>-20.5623</v>
      </c>
    </row>
    <row r="41">
      <c r="A41" s="31" t="s">
        <v>88</v>
      </c>
      <c r="B41" s="34">
        <v>41997.0</v>
      </c>
      <c r="C41" s="31" t="s">
        <v>11</v>
      </c>
      <c r="D41" s="31" t="s">
        <v>75</v>
      </c>
      <c r="E41" s="31" t="s">
        <v>59</v>
      </c>
      <c r="F41" s="33">
        <v>9.568</v>
      </c>
      <c r="G41" s="33">
        <v>2.0</v>
      </c>
      <c r="H41" s="33">
        <v>3.4684</v>
      </c>
    </row>
    <row r="42">
      <c r="A42" s="31" t="s">
        <v>89</v>
      </c>
      <c r="B42" s="32">
        <v>41745.0</v>
      </c>
      <c r="C42" s="31" t="s">
        <v>38</v>
      </c>
      <c r="D42" s="31" t="s">
        <v>65</v>
      </c>
      <c r="E42" s="31" t="s">
        <v>59</v>
      </c>
      <c r="F42" s="33">
        <v>39.072</v>
      </c>
      <c r="G42" s="33">
        <v>6.0</v>
      </c>
      <c r="H42" s="33">
        <v>9.768</v>
      </c>
    </row>
    <row r="43">
      <c r="A43" s="31" t="s">
        <v>90</v>
      </c>
      <c r="B43" s="32">
        <v>41812.0</v>
      </c>
      <c r="C43" s="31" t="s">
        <v>11</v>
      </c>
      <c r="D43" s="31" t="s">
        <v>63</v>
      </c>
      <c r="E43" s="31" t="s">
        <v>28</v>
      </c>
      <c r="F43" s="33">
        <v>196.752</v>
      </c>
      <c r="G43" s="33">
        <v>6.0</v>
      </c>
      <c r="H43" s="33">
        <v>56.5662</v>
      </c>
    </row>
    <row r="44">
      <c r="A44" s="31" t="s">
        <v>91</v>
      </c>
      <c r="B44" s="32">
        <v>41894.0</v>
      </c>
      <c r="C44" s="31" t="s">
        <v>47</v>
      </c>
      <c r="D44" s="31" t="s">
        <v>79</v>
      </c>
      <c r="E44" s="31" t="s">
        <v>45</v>
      </c>
      <c r="F44" s="33">
        <v>69.99</v>
      </c>
      <c r="G44" s="33">
        <v>1.0</v>
      </c>
      <c r="H44" s="33">
        <v>30.0957</v>
      </c>
    </row>
    <row r="45">
      <c r="A45" s="31" t="s">
        <v>92</v>
      </c>
      <c r="B45" s="34">
        <v>41992.0</v>
      </c>
      <c r="C45" s="31" t="s">
        <v>11</v>
      </c>
      <c r="D45" s="31" t="s">
        <v>75</v>
      </c>
      <c r="E45" s="31" t="s">
        <v>59</v>
      </c>
      <c r="F45" s="33">
        <v>4.812</v>
      </c>
      <c r="G45" s="33">
        <v>2.0</v>
      </c>
      <c r="H45" s="33">
        <v>-3.6892</v>
      </c>
    </row>
    <row r="46">
      <c r="A46" s="31" t="s">
        <v>93</v>
      </c>
      <c r="B46" s="32">
        <v>41682.0</v>
      </c>
      <c r="C46" s="31" t="s">
        <v>11</v>
      </c>
      <c r="D46" s="31" t="s">
        <v>27</v>
      </c>
      <c r="E46" s="31" t="s">
        <v>28</v>
      </c>
      <c r="F46" s="33">
        <v>129.568</v>
      </c>
      <c r="G46" s="33">
        <v>2.0</v>
      </c>
      <c r="H46" s="33">
        <v>-24.294</v>
      </c>
    </row>
    <row r="47">
      <c r="A47" s="31" t="s">
        <v>94</v>
      </c>
      <c r="B47" s="32">
        <v>41952.0</v>
      </c>
      <c r="C47" s="31" t="s">
        <v>11</v>
      </c>
      <c r="D47" s="31" t="s">
        <v>27</v>
      </c>
      <c r="E47" s="31" t="s">
        <v>28</v>
      </c>
      <c r="F47" s="33">
        <v>340.92</v>
      </c>
      <c r="G47" s="33">
        <v>3.0</v>
      </c>
      <c r="H47" s="33">
        <v>3.4092</v>
      </c>
    </row>
    <row r="48">
      <c r="A48" s="31" t="s">
        <v>95</v>
      </c>
      <c r="B48" s="32">
        <v>41918.0</v>
      </c>
      <c r="C48" s="31" t="s">
        <v>11</v>
      </c>
      <c r="D48" s="31" t="s">
        <v>27</v>
      </c>
      <c r="E48" s="31" t="s">
        <v>28</v>
      </c>
      <c r="F48" s="33">
        <v>9.09</v>
      </c>
      <c r="G48" s="33">
        <v>3.0</v>
      </c>
      <c r="H48" s="33">
        <v>1.9089</v>
      </c>
    </row>
    <row r="49">
      <c r="A49" s="31" t="s">
        <v>96</v>
      </c>
      <c r="B49" s="32">
        <v>41842.0</v>
      </c>
      <c r="C49" s="31" t="s">
        <v>11</v>
      </c>
      <c r="D49" s="31" t="s">
        <v>79</v>
      </c>
      <c r="E49" s="31" t="s">
        <v>45</v>
      </c>
      <c r="F49" s="33">
        <v>5.96</v>
      </c>
      <c r="G49" s="33">
        <v>2.0</v>
      </c>
      <c r="H49" s="33">
        <v>1.6688</v>
      </c>
    </row>
    <row r="50">
      <c r="A50" s="31" t="s">
        <v>97</v>
      </c>
      <c r="B50" s="34">
        <v>41941.0</v>
      </c>
      <c r="C50" s="31" t="s">
        <v>11</v>
      </c>
      <c r="D50" s="31" t="s">
        <v>49</v>
      </c>
      <c r="E50" s="31" t="s">
        <v>31</v>
      </c>
      <c r="F50" s="33">
        <v>2735.952</v>
      </c>
      <c r="G50" s="33">
        <v>6.0</v>
      </c>
      <c r="H50" s="33">
        <v>341.994</v>
      </c>
    </row>
    <row r="51">
      <c r="A51" s="31" t="s">
        <v>98</v>
      </c>
      <c r="B51" s="32">
        <v>41799.0</v>
      </c>
      <c r="C51" s="31" t="s">
        <v>47</v>
      </c>
      <c r="D51" s="31" t="s">
        <v>41</v>
      </c>
      <c r="E51" s="31" t="s">
        <v>31</v>
      </c>
      <c r="F51" s="33">
        <v>7.992</v>
      </c>
      <c r="G51" s="33">
        <v>1.0</v>
      </c>
      <c r="H51" s="33">
        <v>0.5994</v>
      </c>
    </row>
    <row r="52">
      <c r="A52" s="31" t="s">
        <v>99</v>
      </c>
      <c r="B52" s="32">
        <v>41896.0</v>
      </c>
      <c r="C52" s="31" t="s">
        <v>11</v>
      </c>
      <c r="D52" s="31" t="s">
        <v>79</v>
      </c>
      <c r="E52" s="31" t="s">
        <v>45</v>
      </c>
      <c r="F52" s="33">
        <v>449.15</v>
      </c>
      <c r="G52" s="33">
        <v>5.0</v>
      </c>
      <c r="H52" s="33">
        <v>8.983</v>
      </c>
    </row>
    <row r="53">
      <c r="A53" s="31" t="s">
        <v>100</v>
      </c>
      <c r="B53" s="32">
        <v>41671.0</v>
      </c>
      <c r="C53" s="31" t="s">
        <v>11</v>
      </c>
      <c r="D53" s="31" t="s">
        <v>30</v>
      </c>
      <c r="E53" s="31" t="s">
        <v>31</v>
      </c>
      <c r="F53" s="33">
        <v>468.9</v>
      </c>
      <c r="G53" s="33">
        <v>6.0</v>
      </c>
      <c r="H53" s="33">
        <v>206.316</v>
      </c>
    </row>
    <row r="54">
      <c r="A54" s="31" t="s">
        <v>101</v>
      </c>
      <c r="B54" s="32">
        <v>41770.0</v>
      </c>
      <c r="C54" s="31" t="s">
        <v>11</v>
      </c>
      <c r="D54" s="31" t="s">
        <v>41</v>
      </c>
      <c r="E54" s="31" t="s">
        <v>31</v>
      </c>
      <c r="F54" s="33">
        <v>58.112</v>
      </c>
      <c r="G54" s="33">
        <v>2.0</v>
      </c>
      <c r="H54" s="33">
        <v>7.264</v>
      </c>
    </row>
    <row r="55">
      <c r="A55" s="31" t="s">
        <v>102</v>
      </c>
      <c r="B55" s="32">
        <v>41701.0</v>
      </c>
      <c r="C55" s="31" t="s">
        <v>11</v>
      </c>
      <c r="D55" s="31" t="s">
        <v>65</v>
      </c>
      <c r="E55" s="31" t="s">
        <v>59</v>
      </c>
      <c r="F55" s="33">
        <v>19.456</v>
      </c>
      <c r="G55" s="33">
        <v>4.0</v>
      </c>
      <c r="H55" s="33">
        <v>3.4048</v>
      </c>
    </row>
    <row r="56">
      <c r="A56" s="31" t="s">
        <v>103</v>
      </c>
      <c r="B56" s="32">
        <v>41896.0</v>
      </c>
      <c r="C56" s="31" t="s">
        <v>11</v>
      </c>
      <c r="D56" s="31" t="s">
        <v>75</v>
      </c>
      <c r="E56" s="31" t="s">
        <v>59</v>
      </c>
      <c r="F56" s="33">
        <v>13.0</v>
      </c>
      <c r="G56" s="33">
        <v>5.0</v>
      </c>
      <c r="H56" s="33">
        <v>1.3</v>
      </c>
    </row>
    <row r="57">
      <c r="A57" s="31" t="s">
        <v>104</v>
      </c>
      <c r="B57" s="32">
        <v>41648.0</v>
      </c>
      <c r="C57" s="31" t="s">
        <v>11</v>
      </c>
      <c r="D57" s="31" t="s">
        <v>41</v>
      </c>
      <c r="E57" s="31" t="s">
        <v>31</v>
      </c>
      <c r="F57" s="33">
        <v>9.344</v>
      </c>
      <c r="G57" s="33">
        <v>2.0</v>
      </c>
      <c r="H57" s="33">
        <v>1.168</v>
      </c>
    </row>
    <row r="58">
      <c r="A58" s="31" t="s">
        <v>105</v>
      </c>
      <c r="B58" s="32">
        <v>41859.0</v>
      </c>
      <c r="C58" s="31" t="s">
        <v>11</v>
      </c>
      <c r="D58" s="31" t="s">
        <v>27</v>
      </c>
      <c r="E58" s="31" t="s">
        <v>28</v>
      </c>
      <c r="F58" s="33">
        <v>76.12</v>
      </c>
      <c r="G58" s="33">
        <v>2.0</v>
      </c>
      <c r="H58" s="33">
        <v>22.0748</v>
      </c>
    </row>
    <row r="59">
      <c r="A59" s="31" t="s">
        <v>106</v>
      </c>
      <c r="B59" s="32">
        <v>41713.0</v>
      </c>
      <c r="C59" s="31" t="s">
        <v>11</v>
      </c>
      <c r="D59" s="31" t="s">
        <v>75</v>
      </c>
      <c r="E59" s="31" t="s">
        <v>59</v>
      </c>
      <c r="F59" s="33">
        <v>142.776</v>
      </c>
      <c r="G59" s="33">
        <v>1.0</v>
      </c>
      <c r="H59" s="33">
        <v>17.847</v>
      </c>
    </row>
    <row r="60">
      <c r="A60" s="31" t="s">
        <v>107</v>
      </c>
      <c r="B60" s="32">
        <v>41782.0</v>
      </c>
      <c r="C60" s="31" t="s">
        <v>11</v>
      </c>
      <c r="D60" s="31" t="s">
        <v>77</v>
      </c>
      <c r="E60" s="31" t="s">
        <v>45</v>
      </c>
      <c r="F60" s="33">
        <v>3.282</v>
      </c>
      <c r="G60" s="33">
        <v>2.0</v>
      </c>
      <c r="H60" s="33">
        <v>-2.6256</v>
      </c>
    </row>
    <row r="61">
      <c r="A61" s="31" t="s">
        <v>108</v>
      </c>
      <c r="B61" s="34">
        <v>41999.0</v>
      </c>
      <c r="C61" s="31" t="s">
        <v>11</v>
      </c>
      <c r="D61" s="31" t="s">
        <v>49</v>
      </c>
      <c r="E61" s="31" t="s">
        <v>31</v>
      </c>
      <c r="F61" s="33">
        <v>8.69</v>
      </c>
      <c r="G61" s="33">
        <v>5.0</v>
      </c>
      <c r="H61" s="33">
        <v>-14.773</v>
      </c>
    </row>
    <row r="62">
      <c r="A62" s="31" t="s">
        <v>109</v>
      </c>
      <c r="B62" s="34">
        <v>41997.0</v>
      </c>
      <c r="C62" s="31" t="s">
        <v>11</v>
      </c>
      <c r="D62" s="31" t="s">
        <v>44</v>
      </c>
      <c r="E62" s="31" t="s">
        <v>45</v>
      </c>
      <c r="F62" s="33">
        <v>30.36</v>
      </c>
      <c r="G62" s="33">
        <v>5.0</v>
      </c>
      <c r="H62" s="33">
        <v>8.7285</v>
      </c>
    </row>
    <row r="63">
      <c r="A63" s="31" t="s">
        <v>110</v>
      </c>
      <c r="B63" s="32">
        <v>41825.0</v>
      </c>
      <c r="C63" s="31" t="s">
        <v>11</v>
      </c>
      <c r="D63" s="31" t="s">
        <v>111</v>
      </c>
      <c r="E63" s="31" t="s">
        <v>59</v>
      </c>
      <c r="F63" s="33">
        <v>479.97</v>
      </c>
      <c r="G63" s="33">
        <v>3.0</v>
      </c>
      <c r="H63" s="33">
        <v>163.1898</v>
      </c>
    </row>
    <row r="64">
      <c r="A64" s="31" t="s">
        <v>112</v>
      </c>
      <c r="B64" s="32">
        <v>41811.0</v>
      </c>
      <c r="C64" s="31" t="s">
        <v>11</v>
      </c>
      <c r="D64" s="31" t="s">
        <v>113</v>
      </c>
      <c r="E64" s="31" t="s">
        <v>59</v>
      </c>
      <c r="F64" s="33">
        <v>104.01</v>
      </c>
      <c r="G64" s="33">
        <v>1.0</v>
      </c>
      <c r="H64" s="33">
        <v>14.5614</v>
      </c>
    </row>
    <row r="65">
      <c r="A65" s="31" t="s">
        <v>114</v>
      </c>
      <c r="B65" s="32">
        <v>41894.0</v>
      </c>
      <c r="C65" s="31" t="s">
        <v>38</v>
      </c>
      <c r="D65" s="31" t="s">
        <v>65</v>
      </c>
      <c r="E65" s="31" t="s">
        <v>59</v>
      </c>
      <c r="F65" s="33">
        <v>10.368</v>
      </c>
      <c r="G65" s="33">
        <v>2.0</v>
      </c>
      <c r="H65" s="33">
        <v>3.6288</v>
      </c>
    </row>
    <row r="66">
      <c r="A66" s="31" t="s">
        <v>115</v>
      </c>
      <c r="B66" s="32">
        <v>41975.0</v>
      </c>
      <c r="C66" s="31" t="s">
        <v>11</v>
      </c>
      <c r="D66" s="31" t="s">
        <v>79</v>
      </c>
      <c r="E66" s="31" t="s">
        <v>45</v>
      </c>
      <c r="F66" s="33">
        <v>119.96</v>
      </c>
      <c r="G66" s="33">
        <v>4.0</v>
      </c>
      <c r="H66" s="33">
        <v>52.7824</v>
      </c>
    </row>
    <row r="67">
      <c r="A67" s="31" t="s">
        <v>116</v>
      </c>
      <c r="B67" s="32">
        <v>41734.0</v>
      </c>
      <c r="C67" s="31" t="s">
        <v>47</v>
      </c>
      <c r="D67" s="31" t="s">
        <v>79</v>
      </c>
      <c r="E67" s="31" t="s">
        <v>45</v>
      </c>
      <c r="F67" s="33">
        <v>55.48</v>
      </c>
      <c r="G67" s="33">
        <v>1.0</v>
      </c>
      <c r="H67" s="33">
        <v>26.6304</v>
      </c>
    </row>
    <row r="68">
      <c r="A68" s="31" t="s">
        <v>117</v>
      </c>
      <c r="B68" s="32">
        <v>41821.0</v>
      </c>
      <c r="C68" s="31" t="s">
        <v>38</v>
      </c>
      <c r="D68" s="31" t="s">
        <v>52</v>
      </c>
      <c r="E68" s="31" t="s">
        <v>28</v>
      </c>
      <c r="F68" s="33">
        <v>19.92</v>
      </c>
      <c r="G68" s="33">
        <v>5.0</v>
      </c>
      <c r="H68" s="33">
        <v>6.972</v>
      </c>
    </row>
    <row r="69">
      <c r="A69" s="31" t="s">
        <v>118</v>
      </c>
      <c r="B69" s="32">
        <v>41650.0</v>
      </c>
      <c r="C69" s="31" t="s">
        <v>11</v>
      </c>
      <c r="D69" s="31" t="s">
        <v>119</v>
      </c>
      <c r="E69" s="31" t="s">
        <v>45</v>
      </c>
      <c r="F69" s="33">
        <v>9.94</v>
      </c>
      <c r="G69" s="33">
        <v>2.0</v>
      </c>
      <c r="H69" s="33">
        <v>3.0814</v>
      </c>
    </row>
    <row r="70">
      <c r="A70" s="31" t="s">
        <v>120</v>
      </c>
      <c r="B70" s="32">
        <v>41792.0</v>
      </c>
      <c r="C70" s="31" t="s">
        <v>47</v>
      </c>
      <c r="D70" s="31" t="s">
        <v>33</v>
      </c>
      <c r="E70" s="31" t="s">
        <v>28</v>
      </c>
      <c r="F70" s="33">
        <v>59.808</v>
      </c>
      <c r="G70" s="33">
        <v>3.0</v>
      </c>
      <c r="H70" s="33">
        <v>19.4376</v>
      </c>
    </row>
    <row r="71">
      <c r="A71" s="31" t="s">
        <v>121</v>
      </c>
      <c r="B71" s="32">
        <v>41919.0</v>
      </c>
      <c r="C71" s="31" t="s">
        <v>47</v>
      </c>
      <c r="D71" s="31" t="s">
        <v>77</v>
      </c>
      <c r="E71" s="31" t="s">
        <v>45</v>
      </c>
      <c r="F71" s="33">
        <v>129.92</v>
      </c>
      <c r="G71" s="33">
        <v>5.0</v>
      </c>
      <c r="H71" s="33">
        <v>21.112</v>
      </c>
    </row>
    <row r="72">
      <c r="A72" s="31" t="s">
        <v>122</v>
      </c>
      <c r="B72" s="32">
        <v>41890.0</v>
      </c>
      <c r="C72" s="31" t="s">
        <v>11</v>
      </c>
      <c r="D72" s="31" t="s">
        <v>27</v>
      </c>
      <c r="E72" s="31" t="s">
        <v>28</v>
      </c>
      <c r="F72" s="33">
        <v>49.98</v>
      </c>
      <c r="G72" s="33">
        <v>2.0</v>
      </c>
      <c r="H72" s="33">
        <v>8.4966</v>
      </c>
    </row>
    <row r="73">
      <c r="A73" s="31" t="s">
        <v>123</v>
      </c>
      <c r="B73" s="32">
        <v>41643.0</v>
      </c>
      <c r="C73" s="31" t="s">
        <v>47</v>
      </c>
      <c r="D73" s="31" t="s">
        <v>49</v>
      </c>
      <c r="E73" s="31" t="s">
        <v>31</v>
      </c>
      <c r="F73" s="33">
        <v>11.784</v>
      </c>
      <c r="G73" s="33">
        <v>3.0</v>
      </c>
      <c r="H73" s="33">
        <v>4.2717</v>
      </c>
    </row>
    <row r="74">
      <c r="A74" s="31" t="s">
        <v>124</v>
      </c>
      <c r="B74" s="32">
        <v>41786.0</v>
      </c>
      <c r="C74" s="31" t="s">
        <v>38</v>
      </c>
      <c r="D74" s="31" t="s">
        <v>27</v>
      </c>
      <c r="E74" s="31" t="s">
        <v>28</v>
      </c>
      <c r="F74" s="33">
        <v>567.12</v>
      </c>
      <c r="G74" s="33">
        <v>10.0</v>
      </c>
      <c r="H74" s="33">
        <v>-28.356</v>
      </c>
    </row>
    <row r="75">
      <c r="A75" s="31" t="s">
        <v>125</v>
      </c>
      <c r="B75" s="34">
        <v>42002.0</v>
      </c>
      <c r="C75" s="31" t="s">
        <v>11</v>
      </c>
      <c r="D75" s="31" t="s">
        <v>67</v>
      </c>
      <c r="E75" s="31" t="s">
        <v>31</v>
      </c>
      <c r="F75" s="33">
        <v>24.56</v>
      </c>
      <c r="G75" s="33">
        <v>2.0</v>
      </c>
      <c r="H75" s="33">
        <v>6.8768</v>
      </c>
    </row>
    <row r="76">
      <c r="A76" s="31" t="s">
        <v>126</v>
      </c>
      <c r="B76" s="32">
        <v>41652.0</v>
      </c>
      <c r="C76" s="31" t="s">
        <v>38</v>
      </c>
      <c r="D76" s="31" t="s">
        <v>58</v>
      </c>
      <c r="E76" s="31" t="s">
        <v>59</v>
      </c>
      <c r="F76" s="33">
        <v>11.36</v>
      </c>
      <c r="G76" s="33">
        <v>2.0</v>
      </c>
      <c r="H76" s="33">
        <v>5.3392</v>
      </c>
    </row>
    <row r="77">
      <c r="A77" s="31" t="s">
        <v>127</v>
      </c>
      <c r="B77" s="32">
        <v>41773.0</v>
      </c>
      <c r="C77" s="31" t="s">
        <v>38</v>
      </c>
      <c r="D77" s="31" t="s">
        <v>75</v>
      </c>
      <c r="E77" s="31" t="s">
        <v>59</v>
      </c>
      <c r="F77" s="33">
        <v>310.88</v>
      </c>
      <c r="G77" s="33">
        <v>2.0</v>
      </c>
      <c r="H77" s="33">
        <v>23.316</v>
      </c>
    </row>
    <row r="78">
      <c r="A78" s="31" t="s">
        <v>128</v>
      </c>
      <c r="B78" s="32">
        <v>41819.0</v>
      </c>
      <c r="C78" s="31" t="s">
        <v>11</v>
      </c>
      <c r="D78" s="31" t="s">
        <v>44</v>
      </c>
      <c r="E78" s="31" t="s">
        <v>45</v>
      </c>
      <c r="F78" s="33">
        <v>32.76</v>
      </c>
      <c r="G78" s="33">
        <v>7.0</v>
      </c>
      <c r="H78" s="33">
        <v>3.6855</v>
      </c>
    </row>
    <row r="79">
      <c r="A79" s="31" t="s">
        <v>129</v>
      </c>
      <c r="B79" s="32">
        <v>41902.0</v>
      </c>
      <c r="C79" s="31" t="s">
        <v>11</v>
      </c>
      <c r="D79" s="31" t="s">
        <v>27</v>
      </c>
      <c r="E79" s="31" t="s">
        <v>28</v>
      </c>
      <c r="F79" s="33">
        <v>9.96</v>
      </c>
      <c r="G79" s="33">
        <v>2.0</v>
      </c>
      <c r="H79" s="33">
        <v>4.5816</v>
      </c>
    </row>
    <row r="80">
      <c r="A80" s="31" t="s">
        <v>130</v>
      </c>
      <c r="B80" s="32">
        <v>41944.0</v>
      </c>
      <c r="C80" s="31" t="s">
        <v>11</v>
      </c>
      <c r="D80" s="31" t="s">
        <v>63</v>
      </c>
      <c r="E80" s="31" t="s">
        <v>28</v>
      </c>
      <c r="F80" s="33">
        <v>43.176</v>
      </c>
      <c r="G80" s="33">
        <v>3.0</v>
      </c>
      <c r="H80" s="33">
        <v>4.3176</v>
      </c>
    </row>
    <row r="81">
      <c r="A81" s="31" t="s">
        <v>131</v>
      </c>
      <c r="B81" s="34">
        <v>41925.0</v>
      </c>
      <c r="C81" s="31" t="s">
        <v>11</v>
      </c>
      <c r="D81" s="31" t="s">
        <v>52</v>
      </c>
      <c r="E81" s="31" t="s">
        <v>28</v>
      </c>
      <c r="F81" s="33">
        <v>11.52</v>
      </c>
      <c r="G81" s="33">
        <v>4.0</v>
      </c>
      <c r="H81" s="33">
        <v>3.2256</v>
      </c>
    </row>
    <row r="82">
      <c r="A82" s="31" t="s">
        <v>132</v>
      </c>
      <c r="B82" s="32">
        <v>41818.0</v>
      </c>
      <c r="C82" s="31" t="s">
        <v>11</v>
      </c>
      <c r="D82" s="31" t="s">
        <v>77</v>
      </c>
      <c r="E82" s="31" t="s">
        <v>45</v>
      </c>
      <c r="F82" s="33">
        <v>41.472</v>
      </c>
      <c r="G82" s="33">
        <v>8.0</v>
      </c>
      <c r="H82" s="33">
        <v>14.5152</v>
      </c>
    </row>
    <row r="83">
      <c r="A83" s="31" t="s">
        <v>133</v>
      </c>
      <c r="B83" s="32">
        <v>41768.0</v>
      </c>
      <c r="C83" s="31" t="s">
        <v>11</v>
      </c>
      <c r="D83" s="31" t="s">
        <v>27</v>
      </c>
      <c r="E83" s="31" t="s">
        <v>28</v>
      </c>
      <c r="F83" s="33">
        <v>67.8</v>
      </c>
      <c r="G83" s="33">
        <v>4.0</v>
      </c>
      <c r="H83" s="33">
        <v>4.068</v>
      </c>
    </row>
    <row r="84">
      <c r="A84" s="31" t="s">
        <v>134</v>
      </c>
      <c r="B84" s="32">
        <v>41890.0</v>
      </c>
      <c r="C84" s="31" t="s">
        <v>11</v>
      </c>
      <c r="D84" s="31" t="s">
        <v>41</v>
      </c>
      <c r="E84" s="31" t="s">
        <v>31</v>
      </c>
      <c r="F84" s="33">
        <v>51.184</v>
      </c>
      <c r="G84" s="33">
        <v>4.0</v>
      </c>
      <c r="H84" s="33">
        <v>-79.3352</v>
      </c>
    </row>
    <row r="85">
      <c r="A85" s="31" t="s">
        <v>135</v>
      </c>
      <c r="B85" s="32">
        <v>41677.0</v>
      </c>
      <c r="C85" s="31" t="s">
        <v>38</v>
      </c>
      <c r="D85" s="31" t="s">
        <v>72</v>
      </c>
      <c r="E85" s="31" t="s">
        <v>45</v>
      </c>
      <c r="F85" s="33">
        <v>115.36</v>
      </c>
      <c r="G85" s="33">
        <v>7.0</v>
      </c>
      <c r="H85" s="33">
        <v>49.6048</v>
      </c>
    </row>
    <row r="86">
      <c r="A86" s="31" t="s">
        <v>136</v>
      </c>
      <c r="B86" s="32">
        <v>41854.0</v>
      </c>
      <c r="C86" s="31" t="s">
        <v>11</v>
      </c>
      <c r="D86" s="31" t="s">
        <v>79</v>
      </c>
      <c r="E86" s="31" t="s">
        <v>45</v>
      </c>
      <c r="F86" s="33">
        <v>39.96</v>
      </c>
      <c r="G86" s="33">
        <v>2.0</v>
      </c>
      <c r="H86" s="33">
        <v>18.7812</v>
      </c>
    </row>
    <row r="87">
      <c r="A87" s="31" t="s">
        <v>137</v>
      </c>
      <c r="B87" s="32">
        <v>41799.0</v>
      </c>
      <c r="C87" s="31" t="s">
        <v>11</v>
      </c>
      <c r="D87" s="31" t="s">
        <v>27</v>
      </c>
      <c r="E87" s="31" t="s">
        <v>28</v>
      </c>
      <c r="F87" s="33">
        <v>7.36</v>
      </c>
      <c r="G87" s="33">
        <v>2.0</v>
      </c>
      <c r="H87" s="33">
        <v>0.1472</v>
      </c>
    </row>
    <row r="88">
      <c r="A88" s="31" t="s">
        <v>138</v>
      </c>
      <c r="B88" s="32">
        <v>41649.0</v>
      </c>
      <c r="C88" s="31" t="s">
        <v>38</v>
      </c>
      <c r="D88" s="31" t="s">
        <v>113</v>
      </c>
      <c r="E88" s="31" t="s">
        <v>59</v>
      </c>
      <c r="F88" s="33">
        <v>2.89</v>
      </c>
      <c r="G88" s="33">
        <v>1.0</v>
      </c>
      <c r="H88" s="33">
        <v>1.3583</v>
      </c>
    </row>
    <row r="89">
      <c r="A89" s="31" t="s">
        <v>139</v>
      </c>
      <c r="B89" s="32">
        <v>41735.0</v>
      </c>
      <c r="C89" s="31" t="s">
        <v>38</v>
      </c>
      <c r="D89" s="31" t="s">
        <v>77</v>
      </c>
      <c r="E89" s="31" t="s">
        <v>45</v>
      </c>
      <c r="F89" s="33">
        <v>44.91</v>
      </c>
      <c r="G89" s="33">
        <v>6.0</v>
      </c>
      <c r="H89" s="33">
        <v>-35.928</v>
      </c>
    </row>
    <row r="90">
      <c r="A90" s="31" t="s">
        <v>140</v>
      </c>
      <c r="B90" s="34">
        <v>41983.0</v>
      </c>
      <c r="C90" s="31" t="s">
        <v>11</v>
      </c>
      <c r="D90" s="31" t="s">
        <v>79</v>
      </c>
      <c r="E90" s="31" t="s">
        <v>45</v>
      </c>
      <c r="F90" s="33">
        <v>11.36</v>
      </c>
      <c r="G90" s="33">
        <v>2.0</v>
      </c>
      <c r="H90" s="33">
        <v>5.2256</v>
      </c>
    </row>
    <row r="91">
      <c r="A91" s="31" t="s">
        <v>141</v>
      </c>
      <c r="B91" s="32">
        <v>41899.0</v>
      </c>
      <c r="C91" s="31" t="s">
        <v>47</v>
      </c>
      <c r="D91" s="31" t="s">
        <v>77</v>
      </c>
      <c r="E91" s="31" t="s">
        <v>45</v>
      </c>
      <c r="F91" s="33">
        <v>5.892</v>
      </c>
      <c r="G91" s="33">
        <v>4.0</v>
      </c>
      <c r="H91" s="33">
        <v>-4.1244</v>
      </c>
    </row>
    <row r="92">
      <c r="A92" s="31" t="s">
        <v>142</v>
      </c>
      <c r="B92" s="32">
        <v>41758.0</v>
      </c>
      <c r="C92" s="31" t="s">
        <v>11</v>
      </c>
      <c r="D92" s="31" t="s">
        <v>79</v>
      </c>
      <c r="E92" s="31" t="s">
        <v>45</v>
      </c>
      <c r="F92" s="33">
        <v>17.46</v>
      </c>
      <c r="G92" s="33">
        <v>2.0</v>
      </c>
      <c r="H92" s="33">
        <v>5.9364</v>
      </c>
    </row>
    <row r="93">
      <c r="A93" s="31" t="s">
        <v>143</v>
      </c>
      <c r="B93" s="32">
        <v>41982.0</v>
      </c>
      <c r="C93" s="31" t="s">
        <v>38</v>
      </c>
      <c r="D93" s="31" t="s">
        <v>27</v>
      </c>
      <c r="E93" s="31" t="s">
        <v>28</v>
      </c>
      <c r="F93" s="33">
        <v>34.68</v>
      </c>
      <c r="G93" s="33">
        <v>6.0</v>
      </c>
      <c r="H93" s="33">
        <v>16.9932</v>
      </c>
    </row>
    <row r="94">
      <c r="A94" s="31" t="s">
        <v>144</v>
      </c>
      <c r="B94" s="32">
        <v>41891.0</v>
      </c>
      <c r="C94" s="31" t="s">
        <v>11</v>
      </c>
      <c r="D94" s="31" t="s">
        <v>36</v>
      </c>
      <c r="E94" s="31" t="s">
        <v>31</v>
      </c>
      <c r="F94" s="33">
        <v>103.6</v>
      </c>
      <c r="G94" s="33">
        <v>7.0</v>
      </c>
      <c r="H94" s="33">
        <v>51.8</v>
      </c>
    </row>
    <row r="95">
      <c r="A95" s="31" t="s">
        <v>145</v>
      </c>
      <c r="B95" s="32">
        <v>41805.0</v>
      </c>
      <c r="C95" s="31" t="s">
        <v>38</v>
      </c>
      <c r="D95" s="31" t="s">
        <v>41</v>
      </c>
      <c r="E95" s="31" t="s">
        <v>31</v>
      </c>
      <c r="F95" s="33">
        <v>99.918</v>
      </c>
      <c r="G95" s="33">
        <v>2.0</v>
      </c>
      <c r="H95" s="33">
        <v>-18.5562</v>
      </c>
    </row>
    <row r="96">
      <c r="A96" s="31" t="s">
        <v>146</v>
      </c>
      <c r="B96" s="32">
        <v>41978.0</v>
      </c>
      <c r="C96" s="31" t="s">
        <v>11</v>
      </c>
      <c r="D96" s="31" t="s">
        <v>113</v>
      </c>
      <c r="E96" s="31" t="s">
        <v>59</v>
      </c>
      <c r="F96" s="33">
        <v>24.56</v>
      </c>
      <c r="G96" s="33">
        <v>2.0</v>
      </c>
      <c r="H96" s="33">
        <v>6.8768</v>
      </c>
    </row>
    <row r="97">
      <c r="A97" s="31" t="s">
        <v>147</v>
      </c>
      <c r="B97" s="32">
        <v>41895.0</v>
      </c>
      <c r="C97" s="31" t="s">
        <v>11</v>
      </c>
      <c r="D97" s="31" t="s">
        <v>77</v>
      </c>
      <c r="E97" s="31" t="s">
        <v>45</v>
      </c>
      <c r="F97" s="33">
        <v>15.552</v>
      </c>
      <c r="G97" s="33">
        <v>3.0</v>
      </c>
      <c r="H97" s="33">
        <v>5.4432</v>
      </c>
    </row>
    <row r="98">
      <c r="A98" s="31" t="s">
        <v>148</v>
      </c>
      <c r="B98" s="32">
        <v>41904.0</v>
      </c>
      <c r="C98" s="31" t="s">
        <v>11</v>
      </c>
      <c r="D98" s="31" t="s">
        <v>75</v>
      </c>
      <c r="E98" s="31" t="s">
        <v>59</v>
      </c>
      <c r="F98" s="33">
        <v>4.608</v>
      </c>
      <c r="G98" s="33">
        <v>2.0</v>
      </c>
      <c r="H98" s="33">
        <v>1.6704</v>
      </c>
    </row>
    <row r="99">
      <c r="A99" s="31" t="s">
        <v>149</v>
      </c>
      <c r="B99" s="32">
        <v>41655.0</v>
      </c>
      <c r="C99" s="31" t="s">
        <v>11</v>
      </c>
      <c r="D99" s="31" t="s">
        <v>77</v>
      </c>
      <c r="E99" s="31" t="s">
        <v>45</v>
      </c>
      <c r="F99" s="33">
        <v>127.104</v>
      </c>
      <c r="G99" s="33">
        <v>6.0</v>
      </c>
      <c r="H99" s="33">
        <v>28.5984</v>
      </c>
    </row>
    <row r="100">
      <c r="A100" s="31" t="s">
        <v>150</v>
      </c>
      <c r="B100" s="34">
        <v>41954.0</v>
      </c>
      <c r="C100" s="31" t="s">
        <v>11</v>
      </c>
      <c r="D100" s="31" t="s">
        <v>63</v>
      </c>
      <c r="E100" s="31" t="s">
        <v>28</v>
      </c>
      <c r="F100" s="33">
        <v>3.392</v>
      </c>
      <c r="G100" s="33">
        <v>1.0</v>
      </c>
      <c r="H100" s="33">
        <v>0.8056</v>
      </c>
    </row>
    <row r="101">
      <c r="A101" s="31" t="s">
        <v>151</v>
      </c>
      <c r="B101" s="32">
        <v>41780.0</v>
      </c>
      <c r="C101" s="31" t="s">
        <v>38</v>
      </c>
      <c r="D101" s="31" t="s">
        <v>113</v>
      </c>
      <c r="E101" s="31" t="s">
        <v>59</v>
      </c>
      <c r="F101" s="33">
        <v>2715.93</v>
      </c>
      <c r="G101" s="33">
        <v>7.0</v>
      </c>
      <c r="H101" s="33">
        <v>1276.4871</v>
      </c>
    </row>
    <row r="102">
      <c r="A102" s="31" t="s">
        <v>152</v>
      </c>
      <c r="B102" s="34">
        <v>41967.0</v>
      </c>
      <c r="C102" s="31" t="s">
        <v>11</v>
      </c>
      <c r="D102" s="31" t="s">
        <v>27</v>
      </c>
      <c r="E102" s="31" t="s">
        <v>28</v>
      </c>
      <c r="F102" s="33">
        <v>151.72</v>
      </c>
      <c r="G102" s="33">
        <v>4.0</v>
      </c>
      <c r="H102" s="33">
        <v>27.3096</v>
      </c>
    </row>
    <row r="103">
      <c r="A103" s="31" t="s">
        <v>153</v>
      </c>
      <c r="B103" s="32">
        <v>41831.0</v>
      </c>
      <c r="C103" s="31" t="s">
        <v>38</v>
      </c>
      <c r="D103" s="31" t="s">
        <v>72</v>
      </c>
      <c r="E103" s="31" t="s">
        <v>45</v>
      </c>
      <c r="F103" s="33">
        <v>177.2</v>
      </c>
      <c r="G103" s="33">
        <v>5.0</v>
      </c>
      <c r="H103" s="33">
        <v>83.284</v>
      </c>
    </row>
    <row r="104">
      <c r="A104" s="31" t="s">
        <v>154</v>
      </c>
      <c r="B104" s="32">
        <v>41786.0</v>
      </c>
      <c r="C104" s="31" t="s">
        <v>11</v>
      </c>
      <c r="D104" s="31" t="s">
        <v>27</v>
      </c>
      <c r="E104" s="31" t="s">
        <v>28</v>
      </c>
      <c r="F104" s="33">
        <v>1113.504</v>
      </c>
      <c r="G104" s="33">
        <v>12.0</v>
      </c>
      <c r="H104" s="33">
        <v>125.2692</v>
      </c>
    </row>
    <row r="105">
      <c r="A105" s="31" t="s">
        <v>155</v>
      </c>
      <c r="B105" s="32">
        <v>41815.0</v>
      </c>
      <c r="C105" s="31" t="s">
        <v>38</v>
      </c>
      <c r="D105" s="31" t="s">
        <v>27</v>
      </c>
      <c r="E105" s="31" t="s">
        <v>28</v>
      </c>
      <c r="F105" s="33">
        <v>447.84</v>
      </c>
      <c r="G105" s="33">
        <v>5.0</v>
      </c>
      <c r="H105" s="33">
        <v>11.196</v>
      </c>
    </row>
    <row r="106">
      <c r="A106" s="31" t="s">
        <v>156</v>
      </c>
      <c r="B106" s="32">
        <v>41659.0</v>
      </c>
      <c r="C106" s="31" t="s">
        <v>11</v>
      </c>
      <c r="D106" s="31" t="s">
        <v>157</v>
      </c>
      <c r="E106" s="31" t="s">
        <v>59</v>
      </c>
      <c r="F106" s="33">
        <v>699.93</v>
      </c>
      <c r="G106" s="33">
        <v>7.0</v>
      </c>
      <c r="H106" s="33">
        <v>181.9818</v>
      </c>
    </row>
    <row r="107">
      <c r="A107" s="31" t="s">
        <v>158</v>
      </c>
      <c r="B107" s="32">
        <v>41911.0</v>
      </c>
      <c r="C107" s="31" t="s">
        <v>11</v>
      </c>
      <c r="D107" s="31" t="s">
        <v>27</v>
      </c>
      <c r="E107" s="31" t="s">
        <v>28</v>
      </c>
      <c r="F107" s="33">
        <v>204.6</v>
      </c>
      <c r="G107" s="33">
        <v>2.0</v>
      </c>
      <c r="H107" s="33">
        <v>53.196</v>
      </c>
    </row>
    <row r="108">
      <c r="A108" s="31" t="s">
        <v>159</v>
      </c>
      <c r="B108" s="34">
        <v>41993.0</v>
      </c>
      <c r="C108" s="31" t="s">
        <v>47</v>
      </c>
      <c r="D108" s="31" t="s">
        <v>113</v>
      </c>
      <c r="E108" s="31" t="s">
        <v>59</v>
      </c>
      <c r="F108" s="33">
        <v>122.48</v>
      </c>
      <c r="G108" s="33">
        <v>2.0</v>
      </c>
      <c r="H108" s="33">
        <v>0.0</v>
      </c>
    </row>
    <row r="109">
      <c r="A109" s="31" t="s">
        <v>160</v>
      </c>
      <c r="B109" s="32">
        <v>41883.0</v>
      </c>
      <c r="C109" s="31" t="s">
        <v>11</v>
      </c>
      <c r="D109" s="31" t="s">
        <v>27</v>
      </c>
      <c r="E109" s="31" t="s">
        <v>28</v>
      </c>
      <c r="F109" s="33">
        <v>53.94</v>
      </c>
      <c r="G109" s="33">
        <v>3.0</v>
      </c>
      <c r="H109" s="33">
        <v>15.6426</v>
      </c>
    </row>
    <row r="110">
      <c r="A110" s="31" t="s">
        <v>161</v>
      </c>
      <c r="B110" s="32">
        <v>41701.0</v>
      </c>
      <c r="C110" s="31" t="s">
        <v>47</v>
      </c>
      <c r="D110" s="31" t="s">
        <v>79</v>
      </c>
      <c r="E110" s="31" t="s">
        <v>45</v>
      </c>
      <c r="F110" s="33">
        <v>9.99</v>
      </c>
      <c r="G110" s="33">
        <v>1.0</v>
      </c>
      <c r="H110" s="33">
        <v>4.5954</v>
      </c>
    </row>
    <row r="111">
      <c r="A111" s="31" t="s">
        <v>162</v>
      </c>
      <c r="B111" s="32">
        <v>41763.0</v>
      </c>
      <c r="C111" s="31" t="s">
        <v>11</v>
      </c>
      <c r="D111" s="31" t="s">
        <v>36</v>
      </c>
      <c r="E111" s="31" t="s">
        <v>31</v>
      </c>
      <c r="F111" s="33">
        <v>46.8</v>
      </c>
      <c r="G111" s="33">
        <v>4.0</v>
      </c>
      <c r="H111" s="33">
        <v>21.06</v>
      </c>
    </row>
    <row r="112">
      <c r="A112" s="31" t="s">
        <v>163</v>
      </c>
      <c r="B112" s="32">
        <v>41708.0</v>
      </c>
      <c r="C112" s="31" t="s">
        <v>11</v>
      </c>
      <c r="D112" s="31" t="s">
        <v>36</v>
      </c>
      <c r="E112" s="31" t="s">
        <v>31</v>
      </c>
      <c r="F112" s="33">
        <v>22.38</v>
      </c>
      <c r="G112" s="33">
        <v>2.0</v>
      </c>
      <c r="H112" s="33">
        <v>10.7424</v>
      </c>
    </row>
    <row r="113">
      <c r="A113" s="31" t="s">
        <v>164</v>
      </c>
      <c r="B113" s="32">
        <v>41750.0</v>
      </c>
      <c r="C113" s="31" t="s">
        <v>11</v>
      </c>
      <c r="D113" s="31" t="s">
        <v>27</v>
      </c>
      <c r="E113" s="31" t="s">
        <v>28</v>
      </c>
      <c r="F113" s="33">
        <v>16.52</v>
      </c>
      <c r="G113" s="33">
        <v>5.0</v>
      </c>
      <c r="H113" s="33">
        <v>5.5755</v>
      </c>
    </row>
    <row r="114">
      <c r="A114" s="31" t="s">
        <v>165</v>
      </c>
      <c r="B114" s="34">
        <v>42000.0</v>
      </c>
      <c r="C114" s="31" t="s">
        <v>47</v>
      </c>
      <c r="D114" s="31" t="s">
        <v>27</v>
      </c>
      <c r="E114" s="31" t="s">
        <v>28</v>
      </c>
      <c r="F114" s="33">
        <v>11.56</v>
      </c>
      <c r="G114" s="33">
        <v>4.0</v>
      </c>
      <c r="H114" s="33">
        <v>5.4332</v>
      </c>
    </row>
    <row r="115">
      <c r="A115" s="31" t="s">
        <v>166</v>
      </c>
      <c r="B115" s="32">
        <v>41811.0</v>
      </c>
      <c r="C115" s="31" t="s">
        <v>11</v>
      </c>
      <c r="D115" s="31" t="s">
        <v>72</v>
      </c>
      <c r="E115" s="31" t="s">
        <v>45</v>
      </c>
      <c r="F115" s="33">
        <v>1322.93</v>
      </c>
      <c r="G115" s="33">
        <v>7.0</v>
      </c>
      <c r="H115" s="33">
        <v>357.1911</v>
      </c>
    </row>
    <row r="116">
      <c r="A116" s="31" t="s">
        <v>167</v>
      </c>
      <c r="B116" s="34">
        <v>41967.0</v>
      </c>
      <c r="C116" s="31" t="s">
        <v>38</v>
      </c>
      <c r="D116" s="31" t="s">
        <v>52</v>
      </c>
      <c r="E116" s="31" t="s">
        <v>28</v>
      </c>
      <c r="F116" s="33">
        <v>12.096</v>
      </c>
      <c r="G116" s="33">
        <v>7.0</v>
      </c>
      <c r="H116" s="33">
        <v>4.2336</v>
      </c>
    </row>
    <row r="117">
      <c r="A117" s="31" t="s">
        <v>168</v>
      </c>
      <c r="B117" s="32">
        <v>41832.0</v>
      </c>
      <c r="C117" s="31" t="s">
        <v>47</v>
      </c>
      <c r="D117" s="31" t="s">
        <v>27</v>
      </c>
      <c r="E117" s="31" t="s">
        <v>28</v>
      </c>
      <c r="F117" s="33">
        <v>249.75</v>
      </c>
      <c r="G117" s="33">
        <v>9.0</v>
      </c>
      <c r="H117" s="33">
        <v>44.955</v>
      </c>
    </row>
    <row r="118">
      <c r="A118" s="31" t="s">
        <v>169</v>
      </c>
      <c r="B118" s="32">
        <v>41862.0</v>
      </c>
      <c r="C118" s="31" t="s">
        <v>11</v>
      </c>
      <c r="D118" s="31" t="s">
        <v>52</v>
      </c>
      <c r="E118" s="31" t="s">
        <v>28</v>
      </c>
      <c r="F118" s="33">
        <v>12.35</v>
      </c>
      <c r="G118" s="33">
        <v>1.0</v>
      </c>
      <c r="H118" s="33">
        <v>5.434</v>
      </c>
    </row>
    <row r="119">
      <c r="A119" s="31" t="s">
        <v>170</v>
      </c>
      <c r="B119" s="34">
        <v>41985.0</v>
      </c>
      <c r="C119" s="31" t="s">
        <v>11</v>
      </c>
      <c r="D119" s="31" t="s">
        <v>27</v>
      </c>
      <c r="E119" s="31" t="s">
        <v>28</v>
      </c>
      <c r="F119" s="33">
        <v>764.688</v>
      </c>
      <c r="G119" s="33">
        <v>6.0</v>
      </c>
      <c r="H119" s="33">
        <v>95.586</v>
      </c>
    </row>
    <row r="120">
      <c r="A120" s="31" t="s">
        <v>171</v>
      </c>
      <c r="B120" s="34">
        <v>41997.0</v>
      </c>
      <c r="C120" s="31" t="s">
        <v>38</v>
      </c>
      <c r="D120" s="31" t="s">
        <v>27</v>
      </c>
      <c r="E120" s="31" t="s">
        <v>28</v>
      </c>
      <c r="F120" s="33">
        <v>142.86</v>
      </c>
      <c r="G120" s="33">
        <v>1.0</v>
      </c>
      <c r="H120" s="33">
        <v>41.4294</v>
      </c>
    </row>
    <row r="121">
      <c r="A121" s="31" t="s">
        <v>172</v>
      </c>
      <c r="B121" s="32">
        <v>41890.0</v>
      </c>
      <c r="C121" s="31" t="s">
        <v>38</v>
      </c>
      <c r="D121" s="31" t="s">
        <v>173</v>
      </c>
      <c r="E121" s="31" t="s">
        <v>59</v>
      </c>
      <c r="F121" s="33">
        <v>32.97</v>
      </c>
      <c r="G121" s="33">
        <v>3.0</v>
      </c>
      <c r="H121" s="33">
        <v>12.8583</v>
      </c>
    </row>
    <row r="122">
      <c r="A122" s="31" t="s">
        <v>174</v>
      </c>
      <c r="B122" s="32">
        <v>41821.0</v>
      </c>
      <c r="C122" s="31" t="s">
        <v>38</v>
      </c>
      <c r="D122" s="31" t="s">
        <v>75</v>
      </c>
      <c r="E122" s="31" t="s">
        <v>59</v>
      </c>
      <c r="F122" s="33">
        <v>575.92</v>
      </c>
      <c r="G122" s="33">
        <v>2.0</v>
      </c>
      <c r="H122" s="33">
        <v>71.99</v>
      </c>
    </row>
    <row r="123">
      <c r="A123" s="31" t="s">
        <v>175</v>
      </c>
      <c r="B123" s="32">
        <v>41910.0</v>
      </c>
      <c r="C123" s="31" t="s">
        <v>38</v>
      </c>
      <c r="D123" s="31" t="s">
        <v>176</v>
      </c>
      <c r="E123" s="31" t="s">
        <v>45</v>
      </c>
      <c r="F123" s="33">
        <v>46.26</v>
      </c>
      <c r="G123" s="33">
        <v>3.0</v>
      </c>
      <c r="H123" s="33">
        <v>12.4902</v>
      </c>
    </row>
    <row r="124">
      <c r="A124" s="31" t="s">
        <v>177</v>
      </c>
      <c r="B124" s="32">
        <v>41786.0</v>
      </c>
      <c r="C124" s="31" t="s">
        <v>11</v>
      </c>
      <c r="D124" s="31" t="s">
        <v>49</v>
      </c>
      <c r="E124" s="31" t="s">
        <v>31</v>
      </c>
      <c r="F124" s="33">
        <v>17.46</v>
      </c>
      <c r="G124" s="33">
        <v>6.0</v>
      </c>
      <c r="H124" s="33">
        <v>-30.555</v>
      </c>
    </row>
    <row r="125">
      <c r="A125" s="31" t="s">
        <v>178</v>
      </c>
      <c r="B125" s="32">
        <v>41686.0</v>
      </c>
      <c r="C125" s="31" t="s">
        <v>11</v>
      </c>
      <c r="D125" s="31" t="s">
        <v>41</v>
      </c>
      <c r="E125" s="31" t="s">
        <v>31</v>
      </c>
      <c r="F125" s="33">
        <v>1.08</v>
      </c>
      <c r="G125" s="33">
        <v>3.0</v>
      </c>
      <c r="H125" s="33">
        <v>-1.728</v>
      </c>
    </row>
    <row r="126">
      <c r="A126" s="31" t="s">
        <v>179</v>
      </c>
      <c r="B126" s="32">
        <v>41765.0</v>
      </c>
      <c r="C126" s="31" t="s">
        <v>47</v>
      </c>
      <c r="D126" s="31" t="s">
        <v>27</v>
      </c>
      <c r="E126" s="31" t="s">
        <v>28</v>
      </c>
      <c r="F126" s="33">
        <v>140.736</v>
      </c>
      <c r="G126" s="33">
        <v>8.0</v>
      </c>
      <c r="H126" s="33">
        <v>52.776</v>
      </c>
    </row>
    <row r="127">
      <c r="A127" s="31" t="s">
        <v>180</v>
      </c>
      <c r="B127" s="32">
        <v>41715.0</v>
      </c>
      <c r="C127" s="31" t="s">
        <v>11</v>
      </c>
      <c r="D127" s="31" t="s">
        <v>67</v>
      </c>
      <c r="E127" s="31" t="s">
        <v>31</v>
      </c>
      <c r="F127" s="33">
        <v>93.78</v>
      </c>
      <c r="G127" s="33">
        <v>2.0</v>
      </c>
      <c r="H127" s="33">
        <v>36.5742</v>
      </c>
    </row>
    <row r="128">
      <c r="A128" s="31" t="s">
        <v>181</v>
      </c>
      <c r="B128" s="32">
        <v>41915.0</v>
      </c>
      <c r="C128" s="31" t="s">
        <v>11</v>
      </c>
      <c r="D128" s="31" t="s">
        <v>49</v>
      </c>
      <c r="E128" s="31" t="s">
        <v>31</v>
      </c>
      <c r="F128" s="33">
        <v>258.279</v>
      </c>
      <c r="G128" s="33">
        <v>3.0</v>
      </c>
      <c r="H128" s="33">
        <v>-70.1043</v>
      </c>
    </row>
    <row r="129">
      <c r="A129" s="31" t="s">
        <v>182</v>
      </c>
      <c r="B129" s="32">
        <v>41825.0</v>
      </c>
      <c r="C129" s="31" t="s">
        <v>11</v>
      </c>
      <c r="D129" s="31" t="s">
        <v>41</v>
      </c>
      <c r="E129" s="31" t="s">
        <v>31</v>
      </c>
      <c r="F129" s="33">
        <v>220.776</v>
      </c>
      <c r="G129" s="33">
        <v>3.0</v>
      </c>
      <c r="H129" s="33">
        <v>-44.1552</v>
      </c>
    </row>
    <row r="130">
      <c r="A130" s="31" t="s">
        <v>183</v>
      </c>
      <c r="B130" s="32">
        <v>41908.0</v>
      </c>
      <c r="C130" s="31" t="s">
        <v>11</v>
      </c>
      <c r="D130" s="31" t="s">
        <v>27</v>
      </c>
      <c r="E130" s="31" t="s">
        <v>28</v>
      </c>
      <c r="F130" s="33">
        <v>145.568</v>
      </c>
      <c r="G130" s="33">
        <v>2.0</v>
      </c>
      <c r="H130" s="33">
        <v>0.0</v>
      </c>
    </row>
    <row r="131">
      <c r="A131" s="31" t="s">
        <v>184</v>
      </c>
      <c r="B131" s="32">
        <v>41730.0</v>
      </c>
      <c r="C131" s="31" t="s">
        <v>11</v>
      </c>
      <c r="D131" s="31" t="s">
        <v>27</v>
      </c>
      <c r="E131" s="31" t="s">
        <v>28</v>
      </c>
      <c r="F131" s="33">
        <v>29.6</v>
      </c>
      <c r="G131" s="33">
        <v>2.0</v>
      </c>
      <c r="H131" s="33">
        <v>14.8</v>
      </c>
    </row>
    <row r="132">
      <c r="A132" s="31" t="s">
        <v>185</v>
      </c>
      <c r="B132" s="32">
        <v>41855.0</v>
      </c>
      <c r="C132" s="31" t="s">
        <v>11</v>
      </c>
      <c r="D132" s="31" t="s">
        <v>33</v>
      </c>
      <c r="E132" s="31" t="s">
        <v>28</v>
      </c>
      <c r="F132" s="33">
        <v>1089.75</v>
      </c>
      <c r="G132" s="33">
        <v>3.0</v>
      </c>
      <c r="H132" s="33">
        <v>305.13</v>
      </c>
    </row>
    <row r="133">
      <c r="A133" s="31" t="s">
        <v>186</v>
      </c>
      <c r="B133" s="32">
        <v>41735.0</v>
      </c>
      <c r="C133" s="31" t="s">
        <v>47</v>
      </c>
      <c r="D133" s="31" t="s">
        <v>77</v>
      </c>
      <c r="E133" s="31" t="s">
        <v>45</v>
      </c>
      <c r="F133" s="33">
        <v>10.304</v>
      </c>
      <c r="G133" s="33">
        <v>1.0</v>
      </c>
      <c r="H133" s="33">
        <v>-2.1896</v>
      </c>
    </row>
    <row r="134">
      <c r="A134" s="31" t="s">
        <v>187</v>
      </c>
      <c r="B134" s="32">
        <v>41820.0</v>
      </c>
      <c r="C134" s="31" t="s">
        <v>11</v>
      </c>
      <c r="D134" s="31" t="s">
        <v>79</v>
      </c>
      <c r="E134" s="31" t="s">
        <v>45</v>
      </c>
      <c r="F134" s="33">
        <v>334.768</v>
      </c>
      <c r="G134" s="33">
        <v>7.0</v>
      </c>
      <c r="H134" s="33">
        <v>108.7996</v>
      </c>
    </row>
    <row r="135">
      <c r="A135" s="31" t="s">
        <v>188</v>
      </c>
      <c r="B135" s="34">
        <v>41992.0</v>
      </c>
      <c r="C135" s="31" t="s">
        <v>11</v>
      </c>
      <c r="D135" s="31" t="s">
        <v>189</v>
      </c>
      <c r="E135" s="31" t="s">
        <v>59</v>
      </c>
      <c r="F135" s="33">
        <v>152.76</v>
      </c>
      <c r="G135" s="33">
        <v>6.0</v>
      </c>
      <c r="H135" s="33">
        <v>74.8524</v>
      </c>
    </row>
    <row r="136">
      <c r="A136" s="31" t="s">
        <v>190</v>
      </c>
      <c r="B136" s="32">
        <v>41752.0</v>
      </c>
      <c r="C136" s="31" t="s">
        <v>38</v>
      </c>
      <c r="D136" s="31" t="s">
        <v>77</v>
      </c>
      <c r="E136" s="31" t="s">
        <v>45</v>
      </c>
      <c r="F136" s="33">
        <v>2.502</v>
      </c>
      <c r="G136" s="33">
        <v>3.0</v>
      </c>
      <c r="H136" s="33">
        <v>-1.7514</v>
      </c>
    </row>
    <row r="137">
      <c r="A137" s="31" t="s">
        <v>191</v>
      </c>
      <c r="B137" s="32">
        <v>41763.0</v>
      </c>
      <c r="C137" s="31" t="s">
        <v>11</v>
      </c>
      <c r="D137" s="31" t="s">
        <v>192</v>
      </c>
      <c r="E137" s="31" t="s">
        <v>45</v>
      </c>
      <c r="F137" s="33">
        <v>27.46</v>
      </c>
      <c r="G137" s="33">
        <v>2.0</v>
      </c>
      <c r="H137" s="33">
        <v>9.8856</v>
      </c>
    </row>
    <row r="138">
      <c r="A138" s="31" t="s">
        <v>193</v>
      </c>
      <c r="B138" s="32">
        <v>41859.0</v>
      </c>
      <c r="C138" s="31" t="s">
        <v>11</v>
      </c>
      <c r="D138" s="31" t="s">
        <v>39</v>
      </c>
      <c r="E138" s="31" t="s">
        <v>28</v>
      </c>
      <c r="F138" s="33">
        <v>121.376</v>
      </c>
      <c r="G138" s="33">
        <v>4.0</v>
      </c>
      <c r="H138" s="33">
        <v>-3.0344</v>
      </c>
    </row>
    <row r="139">
      <c r="A139" s="31" t="s">
        <v>194</v>
      </c>
      <c r="B139" s="34">
        <v>41970.0</v>
      </c>
      <c r="C139" s="31" t="s">
        <v>11</v>
      </c>
      <c r="D139" s="31" t="s">
        <v>79</v>
      </c>
      <c r="E139" s="31" t="s">
        <v>45</v>
      </c>
      <c r="F139" s="33">
        <v>3.76</v>
      </c>
      <c r="G139" s="33">
        <v>2.0</v>
      </c>
      <c r="H139" s="33">
        <v>1.316</v>
      </c>
    </row>
    <row r="140">
      <c r="A140" s="31" t="s">
        <v>195</v>
      </c>
      <c r="B140" s="34">
        <v>41972.0</v>
      </c>
      <c r="C140" s="31" t="s">
        <v>11</v>
      </c>
      <c r="D140" s="31" t="s">
        <v>77</v>
      </c>
      <c r="E140" s="31" t="s">
        <v>45</v>
      </c>
      <c r="F140" s="33">
        <v>5.04</v>
      </c>
      <c r="G140" s="33">
        <v>2.0</v>
      </c>
      <c r="H140" s="33">
        <v>1.764</v>
      </c>
    </row>
    <row r="141">
      <c r="A141" s="31" t="s">
        <v>196</v>
      </c>
      <c r="B141" s="34">
        <v>41990.0</v>
      </c>
      <c r="C141" s="31" t="s">
        <v>11</v>
      </c>
      <c r="D141" s="31" t="s">
        <v>173</v>
      </c>
      <c r="E141" s="31" t="s">
        <v>59</v>
      </c>
      <c r="F141" s="33">
        <v>40.05</v>
      </c>
      <c r="G141" s="33">
        <v>3.0</v>
      </c>
      <c r="H141" s="33">
        <v>11.214</v>
      </c>
    </row>
    <row r="142">
      <c r="A142" s="31" t="s">
        <v>197</v>
      </c>
      <c r="B142" s="32">
        <v>41673.0</v>
      </c>
      <c r="C142" s="31" t="s">
        <v>11</v>
      </c>
      <c r="D142" s="31" t="s">
        <v>52</v>
      </c>
      <c r="E142" s="31" t="s">
        <v>28</v>
      </c>
      <c r="F142" s="33">
        <v>83.84</v>
      </c>
      <c r="G142" s="33">
        <v>2.0</v>
      </c>
      <c r="H142" s="33">
        <v>27.248</v>
      </c>
    </row>
    <row r="143">
      <c r="A143" s="31" t="s">
        <v>198</v>
      </c>
      <c r="B143" s="32">
        <v>41709.0</v>
      </c>
      <c r="C143" s="31" t="s">
        <v>11</v>
      </c>
      <c r="D143" s="31" t="s">
        <v>44</v>
      </c>
      <c r="E143" s="31" t="s">
        <v>45</v>
      </c>
      <c r="F143" s="33">
        <v>8.32</v>
      </c>
      <c r="G143" s="33">
        <v>5.0</v>
      </c>
      <c r="H143" s="33">
        <v>2.288</v>
      </c>
    </row>
    <row r="144">
      <c r="A144" s="31" t="s">
        <v>199</v>
      </c>
      <c r="B144" s="32">
        <v>41674.0</v>
      </c>
      <c r="C144" s="31" t="s">
        <v>47</v>
      </c>
      <c r="D144" s="31" t="s">
        <v>27</v>
      </c>
      <c r="E144" s="31" t="s">
        <v>28</v>
      </c>
      <c r="F144" s="33">
        <v>82.896</v>
      </c>
      <c r="G144" s="33">
        <v>3.0</v>
      </c>
      <c r="H144" s="33">
        <v>29.0136</v>
      </c>
    </row>
    <row r="145">
      <c r="A145" s="31" t="s">
        <v>200</v>
      </c>
      <c r="B145" s="34">
        <v>42004.0</v>
      </c>
      <c r="C145" s="31" t="s">
        <v>38</v>
      </c>
      <c r="D145" s="31" t="s">
        <v>79</v>
      </c>
      <c r="E145" s="31" t="s">
        <v>45</v>
      </c>
      <c r="F145" s="33">
        <v>1573.488</v>
      </c>
      <c r="G145" s="33">
        <v>7.0</v>
      </c>
      <c r="H145" s="33">
        <v>196.686</v>
      </c>
    </row>
    <row r="146">
      <c r="A146" s="31" t="s">
        <v>201</v>
      </c>
      <c r="B146" s="32">
        <v>41826.0</v>
      </c>
      <c r="C146" s="31" t="s">
        <v>11</v>
      </c>
      <c r="D146" s="31" t="s">
        <v>79</v>
      </c>
      <c r="E146" s="31" t="s">
        <v>45</v>
      </c>
      <c r="F146" s="33">
        <v>559.992</v>
      </c>
      <c r="G146" s="33">
        <v>1.0</v>
      </c>
      <c r="H146" s="33">
        <v>174.9975</v>
      </c>
    </row>
    <row r="147">
      <c r="A147" s="31" t="s">
        <v>202</v>
      </c>
      <c r="B147" s="32">
        <v>41762.0</v>
      </c>
      <c r="C147" s="31" t="s">
        <v>47</v>
      </c>
      <c r="D147" s="31" t="s">
        <v>30</v>
      </c>
      <c r="E147" s="31" t="s">
        <v>31</v>
      </c>
      <c r="F147" s="33">
        <v>21.56</v>
      </c>
      <c r="G147" s="33">
        <v>7.0</v>
      </c>
      <c r="H147" s="33">
        <v>10.3488</v>
      </c>
    </row>
    <row r="148">
      <c r="A148" s="31" t="s">
        <v>203</v>
      </c>
      <c r="B148" s="32">
        <v>41733.0</v>
      </c>
      <c r="C148" s="31" t="s">
        <v>47</v>
      </c>
      <c r="D148" s="31" t="s">
        <v>27</v>
      </c>
      <c r="E148" s="31" t="s">
        <v>28</v>
      </c>
      <c r="F148" s="33">
        <v>18.9</v>
      </c>
      <c r="G148" s="33">
        <v>6.0</v>
      </c>
      <c r="H148" s="33">
        <v>9.072</v>
      </c>
    </row>
    <row r="149">
      <c r="A149" s="31" t="s">
        <v>204</v>
      </c>
      <c r="B149" s="32">
        <v>41702.0</v>
      </c>
      <c r="C149" s="31" t="s">
        <v>11</v>
      </c>
      <c r="D149" s="31" t="s">
        <v>205</v>
      </c>
      <c r="E149" s="31" t="s">
        <v>59</v>
      </c>
      <c r="F149" s="33">
        <v>354.9</v>
      </c>
      <c r="G149" s="33">
        <v>5.0</v>
      </c>
      <c r="H149" s="33">
        <v>17.745</v>
      </c>
    </row>
    <row r="150">
      <c r="A150" s="31" t="s">
        <v>206</v>
      </c>
      <c r="B150" s="34">
        <v>41966.0</v>
      </c>
      <c r="C150" s="31" t="s">
        <v>11</v>
      </c>
      <c r="D150" s="31" t="s">
        <v>27</v>
      </c>
      <c r="E150" s="31" t="s">
        <v>28</v>
      </c>
      <c r="F150" s="33">
        <v>603.92</v>
      </c>
      <c r="G150" s="33">
        <v>5.0</v>
      </c>
      <c r="H150" s="33">
        <v>-67.941</v>
      </c>
    </row>
    <row r="151">
      <c r="A151" s="31" t="s">
        <v>207</v>
      </c>
      <c r="B151" s="34">
        <v>41988.0</v>
      </c>
      <c r="C151" s="31" t="s">
        <v>11</v>
      </c>
      <c r="D151" s="31" t="s">
        <v>41</v>
      </c>
      <c r="E151" s="31" t="s">
        <v>31</v>
      </c>
      <c r="F151" s="33">
        <v>40.68</v>
      </c>
      <c r="G151" s="33">
        <v>3.0</v>
      </c>
      <c r="H151" s="33">
        <v>-9.153</v>
      </c>
    </row>
    <row r="152">
      <c r="A152" s="31" t="s">
        <v>208</v>
      </c>
      <c r="B152" s="34">
        <v>41931.0</v>
      </c>
      <c r="C152" s="31" t="s">
        <v>11</v>
      </c>
      <c r="D152" s="31" t="s">
        <v>27</v>
      </c>
      <c r="E152" s="31" t="s">
        <v>28</v>
      </c>
      <c r="F152" s="33">
        <v>13.44</v>
      </c>
      <c r="G152" s="33">
        <v>3.0</v>
      </c>
      <c r="H152" s="33">
        <v>6.5856</v>
      </c>
    </row>
    <row r="153">
      <c r="A153" s="31" t="s">
        <v>209</v>
      </c>
      <c r="B153" s="32">
        <v>41785.0</v>
      </c>
      <c r="C153" s="31" t="s">
        <v>38</v>
      </c>
      <c r="D153" s="31" t="s">
        <v>27</v>
      </c>
      <c r="E153" s="31" t="s">
        <v>28</v>
      </c>
      <c r="F153" s="33">
        <v>290.666</v>
      </c>
      <c r="G153" s="33">
        <v>2.0</v>
      </c>
      <c r="H153" s="33">
        <v>27.3568</v>
      </c>
    </row>
    <row r="154">
      <c r="A154" s="31" t="s">
        <v>210</v>
      </c>
      <c r="B154" s="34">
        <v>41969.0</v>
      </c>
      <c r="C154" s="31" t="s">
        <v>11</v>
      </c>
      <c r="D154" s="31" t="s">
        <v>211</v>
      </c>
      <c r="E154" s="31" t="s">
        <v>28</v>
      </c>
      <c r="F154" s="33">
        <v>15.552</v>
      </c>
      <c r="G154" s="33">
        <v>3.0</v>
      </c>
      <c r="H154" s="33">
        <v>5.4432</v>
      </c>
    </row>
    <row r="155">
      <c r="A155" s="31" t="s">
        <v>212</v>
      </c>
      <c r="B155" s="34">
        <v>41972.0</v>
      </c>
      <c r="C155" s="31" t="s">
        <v>38</v>
      </c>
      <c r="D155" s="31" t="s">
        <v>49</v>
      </c>
      <c r="E155" s="31" t="s">
        <v>31</v>
      </c>
      <c r="F155" s="33">
        <v>12.624</v>
      </c>
      <c r="G155" s="33">
        <v>2.0</v>
      </c>
      <c r="H155" s="33">
        <v>3.945</v>
      </c>
    </row>
    <row r="156">
      <c r="A156" s="31" t="s">
        <v>213</v>
      </c>
      <c r="B156" s="32">
        <v>41880.0</v>
      </c>
      <c r="C156" s="31" t="s">
        <v>38</v>
      </c>
      <c r="D156" s="31" t="s">
        <v>27</v>
      </c>
      <c r="E156" s="31" t="s">
        <v>28</v>
      </c>
      <c r="F156" s="33">
        <v>109.92</v>
      </c>
      <c r="G156" s="33">
        <v>2.0</v>
      </c>
      <c r="H156" s="33">
        <v>53.8608</v>
      </c>
    </row>
    <row r="157">
      <c r="A157" s="31" t="s">
        <v>214</v>
      </c>
      <c r="B157" s="32">
        <v>41771.0</v>
      </c>
      <c r="C157" s="31" t="s">
        <v>11</v>
      </c>
      <c r="D157" s="31" t="s">
        <v>30</v>
      </c>
      <c r="E157" s="31" t="s">
        <v>31</v>
      </c>
      <c r="F157" s="33">
        <v>34.79</v>
      </c>
      <c r="G157" s="33">
        <v>7.0</v>
      </c>
      <c r="H157" s="33">
        <v>10.7849</v>
      </c>
    </row>
    <row r="158">
      <c r="A158" s="31" t="s">
        <v>215</v>
      </c>
      <c r="B158" s="32">
        <v>41889.0</v>
      </c>
      <c r="C158" s="31" t="s">
        <v>38</v>
      </c>
      <c r="D158" s="31" t="s">
        <v>77</v>
      </c>
      <c r="E158" s="31" t="s">
        <v>45</v>
      </c>
      <c r="F158" s="33">
        <v>64.784</v>
      </c>
      <c r="G158" s="33">
        <v>1.0</v>
      </c>
      <c r="H158" s="33">
        <v>-14.5764</v>
      </c>
    </row>
    <row r="159">
      <c r="A159" s="31" t="s">
        <v>216</v>
      </c>
      <c r="B159" s="32">
        <v>41867.0</v>
      </c>
      <c r="C159" s="31" t="s">
        <v>11</v>
      </c>
      <c r="D159" s="31" t="s">
        <v>77</v>
      </c>
      <c r="E159" s="31" t="s">
        <v>45</v>
      </c>
      <c r="F159" s="33">
        <v>853.092</v>
      </c>
      <c r="G159" s="33">
        <v>6.0</v>
      </c>
      <c r="H159" s="33">
        <v>-227.4912</v>
      </c>
    </row>
    <row r="160">
      <c r="A160" s="31" t="s">
        <v>217</v>
      </c>
      <c r="B160" s="32">
        <v>41793.0</v>
      </c>
      <c r="C160" s="31" t="s">
        <v>11</v>
      </c>
      <c r="D160" s="31" t="s">
        <v>52</v>
      </c>
      <c r="E160" s="31" t="s">
        <v>28</v>
      </c>
      <c r="F160" s="33">
        <v>515.88</v>
      </c>
      <c r="G160" s="33">
        <v>6.0</v>
      </c>
      <c r="H160" s="33">
        <v>113.4936</v>
      </c>
    </row>
    <row r="161">
      <c r="A161" s="31" t="s">
        <v>218</v>
      </c>
      <c r="B161" s="32">
        <v>41672.0</v>
      </c>
      <c r="C161" s="31" t="s">
        <v>47</v>
      </c>
      <c r="D161" s="31" t="s">
        <v>27</v>
      </c>
      <c r="E161" s="31" t="s">
        <v>28</v>
      </c>
      <c r="F161" s="33">
        <v>12.35</v>
      </c>
      <c r="G161" s="33">
        <v>5.0</v>
      </c>
      <c r="H161" s="33">
        <v>5.8045</v>
      </c>
    </row>
    <row r="162">
      <c r="A162" s="31" t="s">
        <v>219</v>
      </c>
      <c r="B162" s="32">
        <v>41910.0</v>
      </c>
      <c r="C162" s="31" t="s">
        <v>38</v>
      </c>
      <c r="D162" s="31" t="s">
        <v>65</v>
      </c>
      <c r="E162" s="31" t="s">
        <v>59</v>
      </c>
      <c r="F162" s="33">
        <v>96.256</v>
      </c>
      <c r="G162" s="33">
        <v>8.0</v>
      </c>
      <c r="H162" s="33">
        <v>31.2832</v>
      </c>
    </row>
    <row r="163">
      <c r="A163" s="31" t="s">
        <v>220</v>
      </c>
      <c r="B163" s="32">
        <v>41860.0</v>
      </c>
      <c r="C163" s="31" t="s">
        <v>47</v>
      </c>
      <c r="D163" s="31" t="s">
        <v>27</v>
      </c>
      <c r="E163" s="31" t="s">
        <v>28</v>
      </c>
      <c r="F163" s="33">
        <v>20.88</v>
      </c>
      <c r="G163" s="33">
        <v>8.0</v>
      </c>
      <c r="H163" s="33">
        <v>9.6048</v>
      </c>
    </row>
    <row r="164">
      <c r="A164" s="31" t="s">
        <v>221</v>
      </c>
      <c r="B164" s="32">
        <v>41796.0</v>
      </c>
      <c r="C164" s="31" t="s">
        <v>11</v>
      </c>
      <c r="D164" s="31" t="s">
        <v>79</v>
      </c>
      <c r="E164" s="31" t="s">
        <v>45</v>
      </c>
      <c r="F164" s="33">
        <v>13.36</v>
      </c>
      <c r="G164" s="33">
        <v>2.0</v>
      </c>
      <c r="H164" s="33">
        <v>4.9432</v>
      </c>
    </row>
    <row r="165">
      <c r="A165" s="31" t="s">
        <v>222</v>
      </c>
      <c r="B165" s="32">
        <v>41754.0</v>
      </c>
      <c r="C165" s="31" t="s">
        <v>47</v>
      </c>
      <c r="D165" s="31" t="s">
        <v>41</v>
      </c>
      <c r="E165" s="31" t="s">
        <v>31</v>
      </c>
      <c r="F165" s="33">
        <v>10.368</v>
      </c>
      <c r="G165" s="33">
        <v>2.0</v>
      </c>
      <c r="H165" s="33">
        <v>3.6288</v>
      </c>
    </row>
    <row r="166">
      <c r="A166" s="31" t="s">
        <v>223</v>
      </c>
      <c r="B166" s="32">
        <v>41770.0</v>
      </c>
      <c r="C166" s="31" t="s">
        <v>11</v>
      </c>
      <c r="D166" s="31" t="s">
        <v>41</v>
      </c>
      <c r="E166" s="31" t="s">
        <v>31</v>
      </c>
      <c r="F166" s="33">
        <v>46.864</v>
      </c>
      <c r="G166" s="33">
        <v>2.0</v>
      </c>
      <c r="H166" s="33">
        <v>7.6154</v>
      </c>
    </row>
    <row r="167">
      <c r="A167" s="31" t="s">
        <v>224</v>
      </c>
      <c r="B167" s="32">
        <v>41644.0</v>
      </c>
      <c r="C167" s="31" t="s">
        <v>11</v>
      </c>
      <c r="D167" s="31" t="s">
        <v>77</v>
      </c>
      <c r="E167" s="31" t="s">
        <v>45</v>
      </c>
      <c r="F167" s="33">
        <v>19.536</v>
      </c>
      <c r="G167" s="33">
        <v>3.0</v>
      </c>
      <c r="H167" s="33">
        <v>4.884</v>
      </c>
    </row>
    <row r="168">
      <c r="A168" s="31" t="s">
        <v>225</v>
      </c>
      <c r="B168" s="32">
        <v>41720.0</v>
      </c>
      <c r="C168" s="31" t="s">
        <v>11</v>
      </c>
      <c r="D168" s="31" t="s">
        <v>65</v>
      </c>
      <c r="E168" s="31" t="s">
        <v>59</v>
      </c>
      <c r="F168" s="33">
        <v>7.644</v>
      </c>
      <c r="G168" s="33">
        <v>4.0</v>
      </c>
      <c r="H168" s="33">
        <v>-5.8604</v>
      </c>
    </row>
    <row r="169">
      <c r="A169" s="31" t="s">
        <v>226</v>
      </c>
      <c r="B169" s="32">
        <v>41757.0</v>
      </c>
      <c r="C169" s="31" t="s">
        <v>38</v>
      </c>
      <c r="D169" s="31" t="s">
        <v>227</v>
      </c>
      <c r="E169" s="31" t="s">
        <v>45</v>
      </c>
      <c r="F169" s="33">
        <v>20.86</v>
      </c>
      <c r="G169" s="33">
        <v>2.0</v>
      </c>
      <c r="H169" s="33">
        <v>9.387</v>
      </c>
    </row>
    <row r="170">
      <c r="A170" s="31" t="s">
        <v>228</v>
      </c>
      <c r="B170" s="32">
        <v>41912.0</v>
      </c>
      <c r="C170" s="31" t="s">
        <v>11</v>
      </c>
      <c r="D170" s="31" t="s">
        <v>79</v>
      </c>
      <c r="E170" s="31" t="s">
        <v>45</v>
      </c>
      <c r="F170" s="33">
        <v>48.94</v>
      </c>
      <c r="G170" s="33">
        <v>1.0</v>
      </c>
      <c r="H170" s="33">
        <v>24.47</v>
      </c>
    </row>
    <row r="171">
      <c r="A171" s="31" t="s">
        <v>229</v>
      </c>
      <c r="B171" s="32">
        <v>41974.0</v>
      </c>
      <c r="C171" s="31" t="s">
        <v>11</v>
      </c>
      <c r="D171" s="31" t="s">
        <v>30</v>
      </c>
      <c r="E171" s="31" t="s">
        <v>31</v>
      </c>
      <c r="F171" s="33">
        <v>2807.84</v>
      </c>
      <c r="G171" s="33">
        <v>8.0</v>
      </c>
      <c r="H171" s="33">
        <v>673.8816</v>
      </c>
    </row>
    <row r="172">
      <c r="A172" s="31" t="s">
        <v>230</v>
      </c>
      <c r="B172" s="32">
        <v>41981.0</v>
      </c>
      <c r="C172" s="31" t="s">
        <v>38</v>
      </c>
      <c r="D172" s="31" t="s">
        <v>41</v>
      </c>
      <c r="E172" s="31" t="s">
        <v>31</v>
      </c>
      <c r="F172" s="33">
        <v>60.416</v>
      </c>
      <c r="G172" s="33">
        <v>2.0</v>
      </c>
      <c r="H172" s="33">
        <v>6.0416</v>
      </c>
    </row>
    <row r="173">
      <c r="A173" s="31" t="s">
        <v>231</v>
      </c>
      <c r="B173" s="32">
        <v>41799.0</v>
      </c>
      <c r="C173" s="31" t="s">
        <v>11</v>
      </c>
      <c r="D173" s="31" t="s">
        <v>113</v>
      </c>
      <c r="E173" s="31" t="s">
        <v>59</v>
      </c>
      <c r="F173" s="33">
        <v>1441.3</v>
      </c>
      <c r="G173" s="33">
        <v>7.0</v>
      </c>
      <c r="H173" s="33">
        <v>245.021</v>
      </c>
    </row>
    <row r="174">
      <c r="A174" s="31" t="s">
        <v>232</v>
      </c>
      <c r="B174" s="32">
        <v>41784.0</v>
      </c>
      <c r="C174" s="31" t="s">
        <v>11</v>
      </c>
      <c r="D174" s="31" t="s">
        <v>49</v>
      </c>
      <c r="E174" s="31" t="s">
        <v>31</v>
      </c>
      <c r="F174" s="33">
        <v>75.6</v>
      </c>
      <c r="G174" s="33">
        <v>2.0</v>
      </c>
      <c r="H174" s="33">
        <v>-166.32</v>
      </c>
    </row>
    <row r="175">
      <c r="A175" s="31" t="s">
        <v>233</v>
      </c>
      <c r="B175" s="32">
        <v>41777.0</v>
      </c>
      <c r="C175" s="31" t="s">
        <v>11</v>
      </c>
      <c r="D175" s="31" t="s">
        <v>44</v>
      </c>
      <c r="E175" s="31" t="s">
        <v>45</v>
      </c>
      <c r="F175" s="33">
        <v>779.796</v>
      </c>
      <c r="G175" s="33">
        <v>2.0</v>
      </c>
      <c r="H175" s="33">
        <v>-168.9558</v>
      </c>
    </row>
    <row r="176">
      <c r="A176" s="31" t="s">
        <v>234</v>
      </c>
      <c r="B176" s="32">
        <v>41811.0</v>
      </c>
      <c r="C176" s="31" t="s">
        <v>11</v>
      </c>
      <c r="D176" s="31" t="s">
        <v>192</v>
      </c>
      <c r="E176" s="31" t="s">
        <v>45</v>
      </c>
      <c r="F176" s="33">
        <v>21.4</v>
      </c>
      <c r="G176" s="33">
        <v>5.0</v>
      </c>
      <c r="H176" s="33">
        <v>6.206</v>
      </c>
    </row>
    <row r="177">
      <c r="A177" s="31" t="s">
        <v>235</v>
      </c>
      <c r="B177" s="32">
        <v>41852.0</v>
      </c>
      <c r="C177" s="31" t="s">
        <v>38</v>
      </c>
      <c r="D177" s="31" t="s">
        <v>65</v>
      </c>
      <c r="E177" s="31" t="s">
        <v>59</v>
      </c>
      <c r="F177" s="33">
        <v>17.544</v>
      </c>
      <c r="G177" s="33">
        <v>3.0</v>
      </c>
      <c r="H177" s="33">
        <v>5.9211</v>
      </c>
    </row>
    <row r="178">
      <c r="A178" s="31" t="s">
        <v>236</v>
      </c>
      <c r="B178" s="32">
        <v>41803.0</v>
      </c>
      <c r="C178" s="31" t="s">
        <v>38</v>
      </c>
      <c r="D178" s="31" t="s">
        <v>27</v>
      </c>
      <c r="E178" s="31" t="s">
        <v>28</v>
      </c>
      <c r="F178" s="33">
        <v>14.52</v>
      </c>
      <c r="G178" s="33">
        <v>3.0</v>
      </c>
      <c r="H178" s="33">
        <v>4.7916</v>
      </c>
    </row>
    <row r="179">
      <c r="A179" s="31" t="s">
        <v>237</v>
      </c>
      <c r="B179" s="34">
        <v>41955.0</v>
      </c>
      <c r="C179" s="31" t="s">
        <v>11</v>
      </c>
      <c r="D179" s="31" t="s">
        <v>41</v>
      </c>
      <c r="E179" s="31" t="s">
        <v>31</v>
      </c>
      <c r="F179" s="33">
        <v>49.632</v>
      </c>
      <c r="G179" s="33">
        <v>4.0</v>
      </c>
      <c r="H179" s="33">
        <v>4.9632</v>
      </c>
    </row>
    <row r="180">
      <c r="A180" s="31" t="s">
        <v>238</v>
      </c>
      <c r="B180" s="32">
        <v>41841.0</v>
      </c>
      <c r="C180" s="31" t="s">
        <v>38</v>
      </c>
      <c r="D180" s="31" t="s">
        <v>27</v>
      </c>
      <c r="E180" s="31" t="s">
        <v>28</v>
      </c>
      <c r="F180" s="33">
        <v>99.2</v>
      </c>
      <c r="G180" s="33">
        <v>5.0</v>
      </c>
      <c r="H180" s="33">
        <v>25.792</v>
      </c>
    </row>
    <row r="181">
      <c r="A181" s="31" t="s">
        <v>239</v>
      </c>
      <c r="B181" s="32">
        <v>41794.0</v>
      </c>
      <c r="C181" s="31" t="s">
        <v>47</v>
      </c>
      <c r="D181" s="31" t="s">
        <v>44</v>
      </c>
      <c r="E181" s="31" t="s">
        <v>45</v>
      </c>
      <c r="F181" s="33">
        <v>16.224</v>
      </c>
      <c r="G181" s="33">
        <v>2.0</v>
      </c>
      <c r="H181" s="33">
        <v>5.8812</v>
      </c>
    </row>
    <row r="182">
      <c r="A182" s="31" t="s">
        <v>240</v>
      </c>
      <c r="B182" s="32">
        <v>41772.0</v>
      </c>
      <c r="C182" s="31" t="s">
        <v>47</v>
      </c>
      <c r="D182" s="31" t="s">
        <v>75</v>
      </c>
      <c r="E182" s="31" t="s">
        <v>59</v>
      </c>
      <c r="F182" s="33">
        <v>7.104</v>
      </c>
      <c r="G182" s="33">
        <v>2.0</v>
      </c>
      <c r="H182" s="33">
        <v>2.3976</v>
      </c>
    </row>
    <row r="183">
      <c r="A183" s="31" t="s">
        <v>241</v>
      </c>
      <c r="B183" s="34">
        <v>41933.0</v>
      </c>
      <c r="C183" s="31" t="s">
        <v>11</v>
      </c>
      <c r="D183" s="31" t="s">
        <v>44</v>
      </c>
      <c r="E183" s="31" t="s">
        <v>45</v>
      </c>
      <c r="F183" s="33">
        <v>121.792</v>
      </c>
      <c r="G183" s="33">
        <v>4.0</v>
      </c>
      <c r="H183" s="33">
        <v>13.7016</v>
      </c>
    </row>
    <row r="184">
      <c r="A184" s="31" t="s">
        <v>242</v>
      </c>
      <c r="B184" s="32">
        <v>41712.0</v>
      </c>
      <c r="C184" s="31" t="s">
        <v>38</v>
      </c>
      <c r="D184" s="31" t="s">
        <v>27</v>
      </c>
      <c r="E184" s="31" t="s">
        <v>28</v>
      </c>
      <c r="F184" s="33">
        <v>10.56</v>
      </c>
      <c r="G184" s="33">
        <v>2.0</v>
      </c>
      <c r="H184" s="33">
        <v>4.752</v>
      </c>
    </row>
    <row r="185">
      <c r="A185" s="31" t="s">
        <v>243</v>
      </c>
      <c r="B185" s="32">
        <v>41880.0</v>
      </c>
      <c r="C185" s="31" t="s">
        <v>11</v>
      </c>
      <c r="D185" s="31" t="s">
        <v>75</v>
      </c>
      <c r="E185" s="31" t="s">
        <v>59</v>
      </c>
      <c r="F185" s="33">
        <v>29.808</v>
      </c>
      <c r="G185" s="33">
        <v>2.0</v>
      </c>
      <c r="H185" s="33">
        <v>10.8054</v>
      </c>
    </row>
    <row r="186">
      <c r="A186" s="31" t="s">
        <v>244</v>
      </c>
      <c r="B186" s="32">
        <v>41654.0</v>
      </c>
      <c r="C186" s="31" t="s">
        <v>11</v>
      </c>
      <c r="D186" s="31" t="s">
        <v>173</v>
      </c>
      <c r="E186" s="31" t="s">
        <v>59</v>
      </c>
      <c r="F186" s="33">
        <v>149.95</v>
      </c>
      <c r="G186" s="33">
        <v>5.0</v>
      </c>
      <c r="H186" s="33">
        <v>65.978</v>
      </c>
    </row>
    <row r="187">
      <c r="A187" s="31" t="s">
        <v>245</v>
      </c>
      <c r="B187" s="34">
        <v>41987.0</v>
      </c>
      <c r="C187" s="31" t="s">
        <v>11</v>
      </c>
      <c r="D187" s="31" t="s">
        <v>49</v>
      </c>
      <c r="E187" s="31" t="s">
        <v>31</v>
      </c>
      <c r="F187" s="33">
        <v>5.104</v>
      </c>
      <c r="G187" s="33">
        <v>4.0</v>
      </c>
      <c r="H187" s="33">
        <v>-8.6768</v>
      </c>
    </row>
    <row r="188">
      <c r="A188" s="31" t="s">
        <v>246</v>
      </c>
      <c r="B188" s="34">
        <v>41930.0</v>
      </c>
      <c r="C188" s="31" t="s">
        <v>38</v>
      </c>
      <c r="D188" s="31" t="s">
        <v>189</v>
      </c>
      <c r="E188" s="31" t="s">
        <v>59</v>
      </c>
      <c r="F188" s="33">
        <v>275.97</v>
      </c>
      <c r="G188" s="33">
        <v>3.0</v>
      </c>
      <c r="H188" s="33">
        <v>11.0388</v>
      </c>
    </row>
    <row r="189">
      <c r="A189" s="31" t="s">
        <v>247</v>
      </c>
      <c r="B189" s="32">
        <v>41976.0</v>
      </c>
      <c r="C189" s="31" t="s">
        <v>11</v>
      </c>
      <c r="D189" s="31" t="s">
        <v>248</v>
      </c>
      <c r="E189" s="31" t="s">
        <v>31</v>
      </c>
      <c r="F189" s="33">
        <v>479.96</v>
      </c>
      <c r="G189" s="33">
        <v>4.0</v>
      </c>
      <c r="H189" s="33">
        <v>134.3888</v>
      </c>
    </row>
    <row r="190">
      <c r="A190" s="31" t="s">
        <v>249</v>
      </c>
      <c r="B190" s="34">
        <v>41968.0</v>
      </c>
      <c r="C190" s="31" t="s">
        <v>38</v>
      </c>
      <c r="D190" s="31" t="s">
        <v>27</v>
      </c>
      <c r="E190" s="31" t="s">
        <v>28</v>
      </c>
      <c r="F190" s="33">
        <v>320.88</v>
      </c>
      <c r="G190" s="33">
        <v>6.0</v>
      </c>
      <c r="H190" s="33">
        <v>93.0552</v>
      </c>
    </row>
    <row r="191">
      <c r="A191" s="31" t="s">
        <v>250</v>
      </c>
      <c r="B191" s="32">
        <v>41676.0</v>
      </c>
      <c r="C191" s="31" t="s">
        <v>38</v>
      </c>
      <c r="D191" s="31" t="s">
        <v>113</v>
      </c>
      <c r="E191" s="31" t="s">
        <v>59</v>
      </c>
      <c r="F191" s="33">
        <v>15.0</v>
      </c>
      <c r="G191" s="33">
        <v>4.0</v>
      </c>
      <c r="H191" s="33">
        <v>7.2</v>
      </c>
    </row>
    <row r="192">
      <c r="A192" s="31" t="s">
        <v>251</v>
      </c>
      <c r="B192" s="34">
        <v>42004.0</v>
      </c>
      <c r="C192" s="31" t="s">
        <v>38</v>
      </c>
      <c r="D192" s="31" t="s">
        <v>252</v>
      </c>
      <c r="E192" s="31" t="s">
        <v>31</v>
      </c>
      <c r="F192" s="33">
        <v>29.68</v>
      </c>
      <c r="G192" s="33">
        <v>7.0</v>
      </c>
      <c r="H192" s="33">
        <v>11.5752</v>
      </c>
    </row>
    <row r="193">
      <c r="A193" s="31" t="s">
        <v>253</v>
      </c>
      <c r="B193" s="34">
        <v>41958.0</v>
      </c>
      <c r="C193" s="31" t="s">
        <v>11</v>
      </c>
      <c r="D193" s="31" t="s">
        <v>254</v>
      </c>
      <c r="E193" s="31" t="s">
        <v>59</v>
      </c>
      <c r="F193" s="33">
        <v>4.224</v>
      </c>
      <c r="G193" s="33">
        <v>3.0</v>
      </c>
      <c r="H193" s="33">
        <v>0.4752</v>
      </c>
    </row>
    <row r="194">
      <c r="A194" s="31" t="s">
        <v>255</v>
      </c>
      <c r="B194" s="32">
        <v>41868.0</v>
      </c>
      <c r="C194" s="31" t="s">
        <v>38</v>
      </c>
      <c r="D194" s="31" t="s">
        <v>41</v>
      </c>
      <c r="E194" s="31" t="s">
        <v>31</v>
      </c>
      <c r="F194" s="33">
        <v>15.552</v>
      </c>
      <c r="G194" s="33">
        <v>3.0</v>
      </c>
      <c r="H194" s="33">
        <v>5.4432</v>
      </c>
    </row>
    <row r="195">
      <c r="A195" s="31" t="s">
        <v>256</v>
      </c>
      <c r="B195" s="34">
        <v>41943.0</v>
      </c>
      <c r="C195" s="31" t="s">
        <v>38</v>
      </c>
      <c r="D195" s="31" t="s">
        <v>27</v>
      </c>
      <c r="E195" s="31" t="s">
        <v>28</v>
      </c>
      <c r="F195" s="33">
        <v>11.34</v>
      </c>
      <c r="G195" s="33">
        <v>3.0</v>
      </c>
      <c r="H195" s="33">
        <v>5.2164</v>
      </c>
    </row>
    <row r="196">
      <c r="A196" s="31" t="s">
        <v>257</v>
      </c>
      <c r="B196" s="32">
        <v>41974.0</v>
      </c>
      <c r="C196" s="31" t="s">
        <v>11</v>
      </c>
      <c r="D196" s="31" t="s">
        <v>27</v>
      </c>
      <c r="E196" s="31" t="s">
        <v>28</v>
      </c>
      <c r="F196" s="33">
        <v>58.2</v>
      </c>
      <c r="G196" s="33">
        <v>3.0</v>
      </c>
      <c r="H196" s="33">
        <v>28.518</v>
      </c>
    </row>
    <row r="197">
      <c r="A197" s="31" t="s">
        <v>258</v>
      </c>
      <c r="B197" s="34">
        <v>41966.0</v>
      </c>
      <c r="C197" s="31" t="s">
        <v>47</v>
      </c>
      <c r="D197" s="31" t="s">
        <v>41</v>
      </c>
      <c r="E197" s="31" t="s">
        <v>31</v>
      </c>
      <c r="F197" s="33">
        <v>23.68</v>
      </c>
      <c r="G197" s="33">
        <v>2.0</v>
      </c>
      <c r="H197" s="33">
        <v>8.88</v>
      </c>
    </row>
    <row r="198">
      <c r="A198" s="31" t="s">
        <v>259</v>
      </c>
      <c r="B198" s="34">
        <v>41960.0</v>
      </c>
      <c r="C198" s="31" t="s">
        <v>47</v>
      </c>
      <c r="D198" s="31" t="s">
        <v>67</v>
      </c>
      <c r="E198" s="31" t="s">
        <v>31</v>
      </c>
      <c r="F198" s="33">
        <v>479.9</v>
      </c>
      <c r="G198" s="33">
        <v>5.0</v>
      </c>
      <c r="H198" s="33">
        <v>81.583</v>
      </c>
    </row>
    <row r="199">
      <c r="A199" s="31" t="s">
        <v>260</v>
      </c>
      <c r="B199" s="32">
        <v>41708.0</v>
      </c>
      <c r="C199" s="31" t="s">
        <v>11</v>
      </c>
      <c r="D199" s="31" t="s">
        <v>63</v>
      </c>
      <c r="E199" s="31" t="s">
        <v>28</v>
      </c>
      <c r="F199" s="33">
        <v>636.408</v>
      </c>
      <c r="G199" s="33">
        <v>3.0</v>
      </c>
      <c r="H199" s="33">
        <v>-15.9102</v>
      </c>
    </row>
    <row r="200">
      <c r="A200" s="31" t="s">
        <v>261</v>
      </c>
      <c r="B200" s="32">
        <v>41838.0</v>
      </c>
      <c r="C200" s="31" t="s">
        <v>47</v>
      </c>
      <c r="D200" s="31" t="s">
        <v>39</v>
      </c>
      <c r="E200" s="31" t="s">
        <v>28</v>
      </c>
      <c r="F200" s="33">
        <v>259.136</v>
      </c>
      <c r="G200" s="33">
        <v>4.0</v>
      </c>
      <c r="H200" s="33">
        <v>-25.9136</v>
      </c>
    </row>
    <row r="201">
      <c r="A201" s="31" t="s">
        <v>262</v>
      </c>
      <c r="B201" s="32">
        <v>41912.0</v>
      </c>
      <c r="C201" s="31" t="s">
        <v>11</v>
      </c>
      <c r="D201" s="31" t="s">
        <v>75</v>
      </c>
      <c r="E201" s="31" t="s">
        <v>59</v>
      </c>
      <c r="F201" s="33">
        <v>15.552</v>
      </c>
      <c r="G201" s="33">
        <v>3.0</v>
      </c>
      <c r="H201" s="33">
        <v>5.4432</v>
      </c>
    </row>
    <row r="202">
      <c r="A202" s="31" t="s">
        <v>263</v>
      </c>
      <c r="B202" s="32">
        <v>41908.0</v>
      </c>
      <c r="C202" s="31" t="s">
        <v>38</v>
      </c>
      <c r="D202" s="31" t="s">
        <v>41</v>
      </c>
      <c r="E202" s="31" t="s">
        <v>31</v>
      </c>
      <c r="F202" s="33">
        <v>0.876</v>
      </c>
      <c r="G202" s="33">
        <v>1.0</v>
      </c>
      <c r="H202" s="33">
        <v>-1.4016</v>
      </c>
    </row>
    <row r="203">
      <c r="A203" s="31" t="s">
        <v>264</v>
      </c>
      <c r="B203" s="32">
        <v>41813.0</v>
      </c>
      <c r="C203" s="31" t="s">
        <v>11</v>
      </c>
      <c r="D203" s="31" t="s">
        <v>77</v>
      </c>
      <c r="E203" s="31" t="s">
        <v>45</v>
      </c>
      <c r="F203" s="33">
        <v>86.376</v>
      </c>
      <c r="G203" s="33">
        <v>3.0</v>
      </c>
      <c r="H203" s="33">
        <v>1.0797</v>
      </c>
    </row>
    <row r="204">
      <c r="A204" s="31" t="s">
        <v>265</v>
      </c>
      <c r="B204" s="32">
        <v>41779.0</v>
      </c>
      <c r="C204" s="31" t="s">
        <v>38</v>
      </c>
      <c r="D204" s="31" t="s">
        <v>266</v>
      </c>
      <c r="E204" s="31" t="s">
        <v>45</v>
      </c>
      <c r="F204" s="33">
        <v>33.28</v>
      </c>
      <c r="G204" s="33">
        <v>4.0</v>
      </c>
      <c r="H204" s="33">
        <v>9.3184</v>
      </c>
    </row>
    <row r="205">
      <c r="A205" s="31" t="s">
        <v>267</v>
      </c>
      <c r="B205" s="32">
        <v>41796.0</v>
      </c>
      <c r="C205" s="31" t="s">
        <v>38</v>
      </c>
      <c r="D205" s="31" t="s">
        <v>79</v>
      </c>
      <c r="E205" s="31" t="s">
        <v>45</v>
      </c>
      <c r="F205" s="33">
        <v>149.544</v>
      </c>
      <c r="G205" s="33">
        <v>9.0</v>
      </c>
      <c r="H205" s="33">
        <v>50.4711</v>
      </c>
    </row>
    <row r="206">
      <c r="A206" s="31" t="s">
        <v>268</v>
      </c>
      <c r="B206" s="34">
        <v>41985.0</v>
      </c>
      <c r="C206" s="31" t="s">
        <v>11</v>
      </c>
      <c r="D206" s="31" t="s">
        <v>27</v>
      </c>
      <c r="E206" s="31" t="s">
        <v>28</v>
      </c>
      <c r="F206" s="33">
        <v>43.31</v>
      </c>
      <c r="G206" s="33">
        <v>1.0</v>
      </c>
      <c r="H206" s="33">
        <v>4.331</v>
      </c>
    </row>
    <row r="207">
      <c r="A207" s="31" t="s">
        <v>269</v>
      </c>
      <c r="B207" s="34">
        <v>41967.0</v>
      </c>
      <c r="C207" s="31" t="s">
        <v>11</v>
      </c>
      <c r="D207" s="31" t="s">
        <v>252</v>
      </c>
      <c r="E207" s="31" t="s">
        <v>31</v>
      </c>
      <c r="F207" s="33">
        <v>111.79</v>
      </c>
      <c r="G207" s="33">
        <v>7.0</v>
      </c>
      <c r="H207" s="33">
        <v>43.5981</v>
      </c>
    </row>
    <row r="208">
      <c r="A208" s="31" t="s">
        <v>270</v>
      </c>
      <c r="B208" s="32">
        <v>41812.0</v>
      </c>
      <c r="C208" s="31" t="s">
        <v>11</v>
      </c>
      <c r="D208" s="31" t="s">
        <v>67</v>
      </c>
      <c r="E208" s="31" t="s">
        <v>31</v>
      </c>
      <c r="F208" s="33">
        <v>501.81</v>
      </c>
      <c r="G208" s="33">
        <v>3.0</v>
      </c>
      <c r="H208" s="33">
        <v>0.0</v>
      </c>
    </row>
    <row r="209">
      <c r="A209" s="31" t="s">
        <v>271</v>
      </c>
      <c r="B209" s="32">
        <v>41852.0</v>
      </c>
      <c r="C209" s="31" t="s">
        <v>11</v>
      </c>
      <c r="D209" s="31" t="s">
        <v>27</v>
      </c>
      <c r="E209" s="31" t="s">
        <v>28</v>
      </c>
      <c r="F209" s="33">
        <v>19.752</v>
      </c>
      <c r="G209" s="33">
        <v>3.0</v>
      </c>
      <c r="H209" s="33">
        <v>6.9132</v>
      </c>
    </row>
    <row r="210">
      <c r="A210" s="31" t="s">
        <v>272</v>
      </c>
      <c r="B210" s="34">
        <v>41971.0</v>
      </c>
      <c r="C210" s="31" t="s">
        <v>11</v>
      </c>
      <c r="D210" s="31" t="s">
        <v>189</v>
      </c>
      <c r="E210" s="31" t="s">
        <v>59</v>
      </c>
      <c r="F210" s="33">
        <v>14.67</v>
      </c>
      <c r="G210" s="33">
        <v>3.0</v>
      </c>
      <c r="H210" s="33">
        <v>3.9609</v>
      </c>
    </row>
    <row r="211">
      <c r="A211" s="31" t="s">
        <v>273</v>
      </c>
      <c r="B211" s="32">
        <v>41791.0</v>
      </c>
      <c r="C211" s="31" t="s">
        <v>11</v>
      </c>
      <c r="D211" s="31" t="s">
        <v>157</v>
      </c>
      <c r="E211" s="31" t="s">
        <v>59</v>
      </c>
      <c r="F211" s="33">
        <v>22.2</v>
      </c>
      <c r="G211" s="33">
        <v>6.0</v>
      </c>
      <c r="H211" s="33">
        <v>9.102</v>
      </c>
    </row>
    <row r="212">
      <c r="A212" s="31" t="s">
        <v>274</v>
      </c>
      <c r="B212" s="32">
        <v>41834.0</v>
      </c>
      <c r="C212" s="31" t="s">
        <v>47</v>
      </c>
      <c r="D212" s="31" t="s">
        <v>49</v>
      </c>
      <c r="E212" s="31" t="s">
        <v>31</v>
      </c>
      <c r="F212" s="33">
        <v>29.932</v>
      </c>
      <c r="G212" s="33">
        <v>7.0</v>
      </c>
      <c r="H212" s="33">
        <v>-46.3946</v>
      </c>
    </row>
    <row r="213">
      <c r="A213" s="31" t="s">
        <v>275</v>
      </c>
      <c r="B213" s="34">
        <v>41957.0</v>
      </c>
      <c r="C213" s="31" t="s">
        <v>11</v>
      </c>
      <c r="D213" s="31" t="s">
        <v>192</v>
      </c>
      <c r="E213" s="31" t="s">
        <v>45</v>
      </c>
      <c r="F213" s="33">
        <v>832.93</v>
      </c>
      <c r="G213" s="33">
        <v>7.0</v>
      </c>
      <c r="H213" s="33">
        <v>233.2204</v>
      </c>
    </row>
    <row r="214">
      <c r="A214" s="31" t="s">
        <v>276</v>
      </c>
      <c r="B214" s="32">
        <v>41902.0</v>
      </c>
      <c r="C214" s="31" t="s">
        <v>38</v>
      </c>
      <c r="D214" s="31" t="s">
        <v>75</v>
      </c>
      <c r="E214" s="31" t="s">
        <v>59</v>
      </c>
      <c r="F214" s="33">
        <v>2.816</v>
      </c>
      <c r="G214" s="33">
        <v>2.0</v>
      </c>
      <c r="H214" s="33">
        <v>0.9856</v>
      </c>
    </row>
    <row r="215">
      <c r="A215" s="31" t="s">
        <v>277</v>
      </c>
      <c r="B215" s="32">
        <v>41729.0</v>
      </c>
      <c r="C215" s="31" t="s">
        <v>11</v>
      </c>
      <c r="D215" s="31" t="s">
        <v>27</v>
      </c>
      <c r="E215" s="31" t="s">
        <v>28</v>
      </c>
      <c r="F215" s="33">
        <v>673.568</v>
      </c>
      <c r="G215" s="33">
        <v>2.0</v>
      </c>
      <c r="H215" s="33">
        <v>252.588</v>
      </c>
    </row>
    <row r="216">
      <c r="A216" s="31" t="s">
        <v>278</v>
      </c>
      <c r="B216" s="32">
        <v>41915.0</v>
      </c>
      <c r="C216" s="31" t="s">
        <v>38</v>
      </c>
      <c r="D216" s="31" t="s">
        <v>27</v>
      </c>
      <c r="E216" s="31" t="s">
        <v>28</v>
      </c>
      <c r="F216" s="33">
        <v>143.432</v>
      </c>
      <c r="G216" s="33">
        <v>1.0</v>
      </c>
      <c r="H216" s="33">
        <v>3.5858</v>
      </c>
    </row>
    <row r="217">
      <c r="A217" s="31" t="s">
        <v>279</v>
      </c>
      <c r="B217" s="32">
        <v>41817.0</v>
      </c>
      <c r="C217" s="31" t="s">
        <v>11</v>
      </c>
      <c r="D217" s="31" t="s">
        <v>111</v>
      </c>
      <c r="E217" s="31" t="s">
        <v>59</v>
      </c>
      <c r="F217" s="33">
        <v>306.2</v>
      </c>
      <c r="G217" s="33">
        <v>5.0</v>
      </c>
      <c r="H217" s="33">
        <v>0.0</v>
      </c>
    </row>
    <row r="218">
      <c r="A218" s="31" t="s">
        <v>280</v>
      </c>
      <c r="B218" s="34">
        <v>41957.0</v>
      </c>
      <c r="C218" s="31" t="s">
        <v>11</v>
      </c>
      <c r="D218" s="31" t="s">
        <v>36</v>
      </c>
      <c r="E218" s="31" t="s">
        <v>31</v>
      </c>
      <c r="F218" s="33">
        <v>12.72</v>
      </c>
      <c r="G218" s="33">
        <v>3.0</v>
      </c>
      <c r="H218" s="33">
        <v>6.36</v>
      </c>
    </row>
    <row r="219">
      <c r="A219" s="31" t="s">
        <v>281</v>
      </c>
      <c r="B219" s="32">
        <v>41912.0</v>
      </c>
      <c r="C219" s="31" t="s">
        <v>11</v>
      </c>
      <c r="D219" s="31" t="s">
        <v>254</v>
      </c>
      <c r="E219" s="31" t="s">
        <v>59</v>
      </c>
      <c r="F219" s="33">
        <v>69.216</v>
      </c>
      <c r="G219" s="33">
        <v>6.0</v>
      </c>
      <c r="H219" s="33">
        <v>11.2476</v>
      </c>
    </row>
    <row r="220">
      <c r="A220" s="31" t="s">
        <v>282</v>
      </c>
      <c r="B220" s="32">
        <v>41874.0</v>
      </c>
      <c r="C220" s="31" t="s">
        <v>11</v>
      </c>
      <c r="D220" s="31" t="s">
        <v>79</v>
      </c>
      <c r="E220" s="31" t="s">
        <v>45</v>
      </c>
      <c r="F220" s="33">
        <v>25.92</v>
      </c>
      <c r="G220" s="33">
        <v>4.0</v>
      </c>
      <c r="H220" s="33">
        <v>12.4416</v>
      </c>
    </row>
    <row r="221">
      <c r="A221" s="31" t="s">
        <v>283</v>
      </c>
      <c r="B221" s="32">
        <v>41870.0</v>
      </c>
      <c r="C221" s="31" t="s">
        <v>11</v>
      </c>
      <c r="D221" s="31" t="s">
        <v>44</v>
      </c>
      <c r="E221" s="31" t="s">
        <v>45</v>
      </c>
      <c r="F221" s="33">
        <v>10.72</v>
      </c>
      <c r="G221" s="33">
        <v>2.0</v>
      </c>
      <c r="H221" s="33">
        <v>1.742</v>
      </c>
    </row>
    <row r="222">
      <c r="A222" s="31" t="s">
        <v>284</v>
      </c>
      <c r="B222" s="34">
        <v>42004.0</v>
      </c>
      <c r="C222" s="31" t="s">
        <v>47</v>
      </c>
      <c r="D222" s="31" t="s">
        <v>176</v>
      </c>
      <c r="E222" s="31" t="s">
        <v>45</v>
      </c>
      <c r="F222" s="33">
        <v>63.2</v>
      </c>
      <c r="G222" s="33">
        <v>5.0</v>
      </c>
      <c r="H222" s="33">
        <v>23.384</v>
      </c>
    </row>
    <row r="223">
      <c r="A223" s="31" t="s">
        <v>285</v>
      </c>
      <c r="B223" s="32">
        <v>41846.0</v>
      </c>
      <c r="C223" s="31" t="s">
        <v>11</v>
      </c>
      <c r="D223" s="31" t="s">
        <v>49</v>
      </c>
      <c r="E223" s="31" t="s">
        <v>31</v>
      </c>
      <c r="F223" s="33">
        <v>123.552</v>
      </c>
      <c r="G223" s="33">
        <v>3.0</v>
      </c>
      <c r="H223" s="33">
        <v>-29.3436</v>
      </c>
    </row>
    <row r="224">
      <c r="A224" s="31" t="s">
        <v>286</v>
      </c>
      <c r="B224" s="32">
        <v>41715.0</v>
      </c>
      <c r="C224" s="31" t="s">
        <v>38</v>
      </c>
      <c r="D224" s="31" t="s">
        <v>79</v>
      </c>
      <c r="E224" s="31" t="s">
        <v>45</v>
      </c>
      <c r="F224" s="33">
        <v>1579.746</v>
      </c>
      <c r="G224" s="33">
        <v>7.0</v>
      </c>
      <c r="H224" s="33">
        <v>-447.5947</v>
      </c>
    </row>
    <row r="225">
      <c r="A225" s="31" t="s">
        <v>287</v>
      </c>
      <c r="B225" s="34">
        <v>41967.0</v>
      </c>
      <c r="C225" s="31" t="s">
        <v>11</v>
      </c>
      <c r="D225" s="31" t="s">
        <v>27</v>
      </c>
      <c r="E225" s="31" t="s">
        <v>28</v>
      </c>
      <c r="F225" s="33">
        <v>120.712</v>
      </c>
      <c r="G225" s="33">
        <v>1.0</v>
      </c>
      <c r="H225" s="33">
        <v>-18.1068</v>
      </c>
    </row>
    <row r="226">
      <c r="A226" s="31" t="s">
        <v>288</v>
      </c>
      <c r="B226" s="32">
        <v>41870.0</v>
      </c>
      <c r="C226" s="31" t="s">
        <v>11</v>
      </c>
      <c r="D226" s="31" t="s">
        <v>44</v>
      </c>
      <c r="E226" s="31" t="s">
        <v>45</v>
      </c>
      <c r="F226" s="33">
        <v>76.776</v>
      </c>
      <c r="G226" s="33">
        <v>4.0</v>
      </c>
      <c r="H226" s="33">
        <v>-58.8616</v>
      </c>
    </row>
    <row r="227">
      <c r="A227" s="31" t="s">
        <v>289</v>
      </c>
      <c r="B227" s="32">
        <v>41852.0</v>
      </c>
      <c r="C227" s="31" t="s">
        <v>47</v>
      </c>
      <c r="D227" s="31" t="s">
        <v>77</v>
      </c>
      <c r="E227" s="31" t="s">
        <v>45</v>
      </c>
      <c r="F227" s="33">
        <v>5.68</v>
      </c>
      <c r="G227" s="33">
        <v>2.0</v>
      </c>
      <c r="H227" s="33">
        <v>1.917</v>
      </c>
    </row>
    <row r="228">
      <c r="A228" s="31" t="s">
        <v>290</v>
      </c>
      <c r="B228" s="34">
        <v>41955.0</v>
      </c>
      <c r="C228" s="31" t="s">
        <v>11</v>
      </c>
      <c r="D228" s="31" t="s">
        <v>27</v>
      </c>
      <c r="E228" s="31" t="s">
        <v>28</v>
      </c>
      <c r="F228" s="33">
        <v>11.96</v>
      </c>
      <c r="G228" s="33">
        <v>2.0</v>
      </c>
      <c r="H228" s="33">
        <v>5.8604</v>
      </c>
    </row>
    <row r="229">
      <c r="A229" s="31" t="s">
        <v>291</v>
      </c>
      <c r="B229" s="32">
        <v>41723.0</v>
      </c>
      <c r="C229" s="31" t="s">
        <v>11</v>
      </c>
      <c r="D229" s="31" t="s">
        <v>79</v>
      </c>
      <c r="E229" s="31" t="s">
        <v>45</v>
      </c>
      <c r="F229" s="33">
        <v>366.786</v>
      </c>
      <c r="G229" s="33">
        <v>7.0</v>
      </c>
      <c r="H229" s="33">
        <v>65.2064</v>
      </c>
    </row>
    <row r="230">
      <c r="A230" s="31" t="s">
        <v>292</v>
      </c>
      <c r="B230" s="34">
        <v>41961.0</v>
      </c>
      <c r="C230" s="31" t="s">
        <v>11</v>
      </c>
      <c r="D230" s="31" t="s">
        <v>63</v>
      </c>
      <c r="E230" s="31" t="s">
        <v>28</v>
      </c>
      <c r="F230" s="33">
        <v>145.98</v>
      </c>
      <c r="G230" s="33">
        <v>2.0</v>
      </c>
      <c r="H230" s="33">
        <v>-99.2664</v>
      </c>
    </row>
    <row r="231">
      <c r="A231" s="31" t="s">
        <v>293</v>
      </c>
      <c r="B231" s="32">
        <v>41895.0</v>
      </c>
      <c r="C231" s="31" t="s">
        <v>11</v>
      </c>
      <c r="D231" s="31" t="s">
        <v>79</v>
      </c>
      <c r="E231" s="31" t="s">
        <v>45</v>
      </c>
      <c r="F231" s="33">
        <v>5.46</v>
      </c>
      <c r="G231" s="33">
        <v>3.0</v>
      </c>
      <c r="H231" s="33">
        <v>1.4742</v>
      </c>
    </row>
    <row r="232">
      <c r="A232" s="31" t="s">
        <v>294</v>
      </c>
      <c r="B232" s="34">
        <v>41986.0</v>
      </c>
      <c r="C232" s="31" t="s">
        <v>11</v>
      </c>
      <c r="D232" s="31" t="s">
        <v>27</v>
      </c>
      <c r="E232" s="31" t="s">
        <v>28</v>
      </c>
      <c r="F232" s="33">
        <v>90.24</v>
      </c>
      <c r="G232" s="33">
        <v>6.0</v>
      </c>
      <c r="H232" s="33">
        <v>41.5104</v>
      </c>
    </row>
    <row r="233">
      <c r="A233" s="31" t="s">
        <v>295</v>
      </c>
      <c r="B233" s="34">
        <v>41962.0</v>
      </c>
      <c r="C233" s="31" t="s">
        <v>11</v>
      </c>
      <c r="D233" s="31" t="s">
        <v>79</v>
      </c>
      <c r="E233" s="31" t="s">
        <v>45</v>
      </c>
      <c r="F233" s="33">
        <v>4548.81</v>
      </c>
      <c r="G233" s="33">
        <v>7.0</v>
      </c>
      <c r="H233" s="33">
        <v>1228.1787</v>
      </c>
    </row>
    <row r="234">
      <c r="A234" s="31" t="s">
        <v>296</v>
      </c>
      <c r="B234" s="32">
        <v>41806.0</v>
      </c>
      <c r="C234" s="31" t="s">
        <v>11</v>
      </c>
      <c r="D234" s="31" t="s">
        <v>297</v>
      </c>
      <c r="E234" s="31" t="s">
        <v>31</v>
      </c>
      <c r="F234" s="33">
        <v>647.84</v>
      </c>
      <c r="G234" s="33">
        <v>8.0</v>
      </c>
      <c r="H234" s="33">
        <v>32.392</v>
      </c>
    </row>
    <row r="235">
      <c r="A235" s="31" t="s">
        <v>298</v>
      </c>
      <c r="B235" s="32">
        <v>41845.0</v>
      </c>
      <c r="C235" s="31" t="s">
        <v>11</v>
      </c>
      <c r="D235" s="31" t="s">
        <v>27</v>
      </c>
      <c r="E235" s="31" t="s">
        <v>28</v>
      </c>
      <c r="F235" s="33">
        <v>53.72</v>
      </c>
      <c r="G235" s="33">
        <v>4.0</v>
      </c>
      <c r="H235" s="33">
        <v>15.0416</v>
      </c>
    </row>
    <row r="236">
      <c r="A236" s="31" t="s">
        <v>299</v>
      </c>
      <c r="B236" s="32">
        <v>41887.0</v>
      </c>
      <c r="C236" s="31" t="s">
        <v>11</v>
      </c>
      <c r="D236" s="31" t="s">
        <v>44</v>
      </c>
      <c r="E236" s="31" t="s">
        <v>45</v>
      </c>
      <c r="F236" s="33">
        <v>264.32</v>
      </c>
      <c r="G236" s="33">
        <v>2.0</v>
      </c>
      <c r="H236" s="33">
        <v>19.824</v>
      </c>
    </row>
    <row r="237">
      <c r="A237" s="31" t="s">
        <v>300</v>
      </c>
      <c r="B237" s="34">
        <v>41958.0</v>
      </c>
      <c r="C237" s="31" t="s">
        <v>11</v>
      </c>
      <c r="D237" s="31" t="s">
        <v>41</v>
      </c>
      <c r="E237" s="31" t="s">
        <v>31</v>
      </c>
      <c r="F237" s="33">
        <v>604.656</v>
      </c>
      <c r="G237" s="33">
        <v>9.0</v>
      </c>
      <c r="H237" s="33">
        <v>204.0714</v>
      </c>
    </row>
    <row r="238">
      <c r="A238" s="31" t="s">
        <v>301</v>
      </c>
      <c r="B238" s="34">
        <v>41936.0</v>
      </c>
      <c r="C238" s="31" t="s">
        <v>47</v>
      </c>
      <c r="D238" s="31" t="s">
        <v>75</v>
      </c>
      <c r="E238" s="31" t="s">
        <v>59</v>
      </c>
      <c r="F238" s="33">
        <v>10.368</v>
      </c>
      <c r="G238" s="33">
        <v>2.0</v>
      </c>
      <c r="H238" s="33">
        <v>3.6288</v>
      </c>
    </row>
    <row r="239">
      <c r="A239" s="31" t="s">
        <v>302</v>
      </c>
      <c r="B239" s="32">
        <v>41868.0</v>
      </c>
      <c r="C239" s="31" t="s">
        <v>38</v>
      </c>
      <c r="D239" s="31" t="s">
        <v>157</v>
      </c>
      <c r="E239" s="31" t="s">
        <v>59</v>
      </c>
      <c r="F239" s="33">
        <v>114.2</v>
      </c>
      <c r="G239" s="33">
        <v>5.0</v>
      </c>
      <c r="H239" s="33">
        <v>52.532</v>
      </c>
    </row>
    <row r="240">
      <c r="A240" s="31" t="s">
        <v>303</v>
      </c>
      <c r="B240" s="32">
        <v>41908.0</v>
      </c>
      <c r="C240" s="31" t="s">
        <v>38</v>
      </c>
      <c r="D240" s="31" t="s">
        <v>77</v>
      </c>
      <c r="E240" s="31" t="s">
        <v>45</v>
      </c>
      <c r="F240" s="33">
        <v>143.952</v>
      </c>
      <c r="G240" s="33">
        <v>3.0</v>
      </c>
      <c r="H240" s="33">
        <v>14.3952</v>
      </c>
    </row>
    <row r="241">
      <c r="A241" s="31" t="s">
        <v>304</v>
      </c>
      <c r="B241" s="34">
        <v>41965.0</v>
      </c>
      <c r="C241" s="31" t="s">
        <v>38</v>
      </c>
      <c r="D241" s="31" t="s">
        <v>173</v>
      </c>
      <c r="E241" s="31" t="s">
        <v>59</v>
      </c>
      <c r="F241" s="33">
        <v>16.23</v>
      </c>
      <c r="G241" s="33">
        <v>3.0</v>
      </c>
      <c r="H241" s="33">
        <v>7.9527</v>
      </c>
    </row>
    <row r="242">
      <c r="A242" s="31" t="s">
        <v>305</v>
      </c>
      <c r="B242" s="32">
        <v>41665.0</v>
      </c>
      <c r="C242" s="31" t="s">
        <v>47</v>
      </c>
      <c r="D242" s="31" t="s">
        <v>113</v>
      </c>
      <c r="E242" s="31" t="s">
        <v>59</v>
      </c>
      <c r="F242" s="33">
        <v>62.82</v>
      </c>
      <c r="G242" s="33">
        <v>3.0</v>
      </c>
      <c r="H242" s="33">
        <v>30.7818</v>
      </c>
    </row>
    <row r="243">
      <c r="A243" s="31" t="s">
        <v>306</v>
      </c>
      <c r="B243" s="34">
        <v>41989.0</v>
      </c>
      <c r="C243" s="31" t="s">
        <v>38</v>
      </c>
      <c r="D243" s="31" t="s">
        <v>75</v>
      </c>
      <c r="E243" s="31" t="s">
        <v>59</v>
      </c>
      <c r="F243" s="33">
        <v>1.167</v>
      </c>
      <c r="G243" s="33">
        <v>1.0</v>
      </c>
      <c r="H243" s="33">
        <v>-0.8558</v>
      </c>
    </row>
    <row r="244">
      <c r="A244" s="31" t="s">
        <v>307</v>
      </c>
      <c r="B244" s="34">
        <v>41968.0</v>
      </c>
      <c r="C244" s="31" t="s">
        <v>38</v>
      </c>
      <c r="D244" s="31" t="s">
        <v>41</v>
      </c>
      <c r="E244" s="31" t="s">
        <v>31</v>
      </c>
      <c r="F244" s="33">
        <v>24.672</v>
      </c>
      <c r="G244" s="33">
        <v>3.0</v>
      </c>
      <c r="H244" s="33">
        <v>0.0</v>
      </c>
    </row>
    <row r="245">
      <c r="A245" s="31" t="s">
        <v>308</v>
      </c>
      <c r="B245" s="32">
        <v>41755.0</v>
      </c>
      <c r="C245" s="31" t="s">
        <v>38</v>
      </c>
      <c r="D245" s="31" t="s">
        <v>27</v>
      </c>
      <c r="E245" s="31" t="s">
        <v>28</v>
      </c>
      <c r="F245" s="33">
        <v>230.28</v>
      </c>
      <c r="G245" s="33">
        <v>3.0</v>
      </c>
      <c r="H245" s="33">
        <v>23.028</v>
      </c>
    </row>
    <row r="246">
      <c r="A246" s="31" t="s">
        <v>309</v>
      </c>
      <c r="B246" s="32">
        <v>41976.0</v>
      </c>
      <c r="C246" s="31" t="s">
        <v>38</v>
      </c>
      <c r="D246" s="31" t="s">
        <v>252</v>
      </c>
      <c r="E246" s="31" t="s">
        <v>31</v>
      </c>
      <c r="F246" s="33">
        <v>25.92</v>
      </c>
      <c r="G246" s="33">
        <v>4.0</v>
      </c>
      <c r="H246" s="33">
        <v>12.4416</v>
      </c>
    </row>
    <row r="247">
      <c r="A247" s="31" t="s">
        <v>310</v>
      </c>
      <c r="B247" s="32">
        <v>41889.0</v>
      </c>
      <c r="C247" s="31" t="s">
        <v>11</v>
      </c>
      <c r="D247" s="31" t="s">
        <v>248</v>
      </c>
      <c r="E247" s="31" t="s">
        <v>31</v>
      </c>
      <c r="F247" s="33">
        <v>57.69</v>
      </c>
      <c r="G247" s="33">
        <v>3.0</v>
      </c>
      <c r="H247" s="33">
        <v>23.6529</v>
      </c>
    </row>
    <row r="248">
      <c r="A248" s="31" t="s">
        <v>311</v>
      </c>
      <c r="B248" s="32">
        <v>41891.0</v>
      </c>
      <c r="C248" s="31" t="s">
        <v>38</v>
      </c>
      <c r="D248" s="31" t="s">
        <v>176</v>
      </c>
      <c r="E248" s="31" t="s">
        <v>45</v>
      </c>
      <c r="F248" s="33">
        <v>166.44</v>
      </c>
      <c r="G248" s="33">
        <v>3.0</v>
      </c>
      <c r="H248" s="33">
        <v>79.8912</v>
      </c>
    </row>
    <row r="249">
      <c r="A249" s="31" t="s">
        <v>312</v>
      </c>
      <c r="B249" s="32">
        <v>41811.0</v>
      </c>
      <c r="C249" s="31" t="s">
        <v>11</v>
      </c>
      <c r="D249" s="31" t="s">
        <v>63</v>
      </c>
      <c r="E249" s="31" t="s">
        <v>28</v>
      </c>
      <c r="F249" s="33">
        <v>11.088</v>
      </c>
      <c r="G249" s="33">
        <v>7.0</v>
      </c>
      <c r="H249" s="33">
        <v>-8.1312</v>
      </c>
    </row>
    <row r="250">
      <c r="A250" s="31" t="s">
        <v>313</v>
      </c>
      <c r="B250" s="32">
        <v>41820.0</v>
      </c>
      <c r="C250" s="31" t="s">
        <v>11</v>
      </c>
      <c r="D250" s="31" t="s">
        <v>49</v>
      </c>
      <c r="E250" s="31" t="s">
        <v>31</v>
      </c>
      <c r="F250" s="33">
        <v>5.248</v>
      </c>
      <c r="G250" s="33">
        <v>4.0</v>
      </c>
      <c r="H250" s="33">
        <v>1.64</v>
      </c>
    </row>
    <row r="251">
      <c r="A251" s="31" t="s">
        <v>314</v>
      </c>
      <c r="B251" s="34">
        <v>41927.0</v>
      </c>
      <c r="C251" s="31" t="s">
        <v>11</v>
      </c>
      <c r="D251" s="31" t="s">
        <v>75</v>
      </c>
      <c r="E251" s="31" t="s">
        <v>59</v>
      </c>
      <c r="F251" s="33">
        <v>15.384</v>
      </c>
      <c r="G251" s="33">
        <v>1.0</v>
      </c>
      <c r="H251" s="33">
        <v>4.0383</v>
      </c>
    </row>
    <row r="252">
      <c r="A252" s="31" t="s">
        <v>315</v>
      </c>
      <c r="B252" s="32">
        <v>41716.0</v>
      </c>
      <c r="C252" s="31" t="s">
        <v>47</v>
      </c>
      <c r="D252" s="31" t="s">
        <v>75</v>
      </c>
      <c r="E252" s="31" t="s">
        <v>59</v>
      </c>
      <c r="F252" s="33">
        <v>821.3</v>
      </c>
      <c r="G252" s="33">
        <v>4.0</v>
      </c>
      <c r="H252" s="33">
        <v>-16.426</v>
      </c>
    </row>
    <row r="253">
      <c r="A253" s="31" t="s">
        <v>316</v>
      </c>
      <c r="B253" s="32">
        <v>41783.0</v>
      </c>
      <c r="C253" s="31" t="s">
        <v>11</v>
      </c>
      <c r="D253" s="31" t="s">
        <v>227</v>
      </c>
      <c r="E253" s="31" t="s">
        <v>45</v>
      </c>
      <c r="F253" s="33">
        <v>116.28</v>
      </c>
      <c r="G253" s="33">
        <v>3.0</v>
      </c>
      <c r="H253" s="33">
        <v>56.9772</v>
      </c>
    </row>
    <row r="254">
      <c r="A254" s="31" t="s">
        <v>317</v>
      </c>
      <c r="B254" s="32">
        <v>41754.0</v>
      </c>
      <c r="C254" s="31" t="s">
        <v>11</v>
      </c>
      <c r="D254" s="31" t="s">
        <v>65</v>
      </c>
      <c r="E254" s="31" t="s">
        <v>59</v>
      </c>
      <c r="F254" s="33">
        <v>302.376</v>
      </c>
      <c r="G254" s="33">
        <v>3.0</v>
      </c>
      <c r="H254" s="33">
        <v>37.797</v>
      </c>
    </row>
    <row r="255">
      <c r="A255" s="31" t="s">
        <v>318</v>
      </c>
      <c r="B255" s="32">
        <v>41977.0</v>
      </c>
      <c r="C255" s="31" t="s">
        <v>38</v>
      </c>
      <c r="D255" s="31" t="s">
        <v>79</v>
      </c>
      <c r="E255" s="31" t="s">
        <v>45</v>
      </c>
      <c r="F255" s="33">
        <v>129.98</v>
      </c>
      <c r="G255" s="33">
        <v>2.0</v>
      </c>
      <c r="H255" s="33">
        <v>62.3904</v>
      </c>
    </row>
    <row r="256">
      <c r="A256" s="31" t="s">
        <v>319</v>
      </c>
      <c r="B256" s="32">
        <v>41889.0</v>
      </c>
      <c r="C256" s="31" t="s">
        <v>11</v>
      </c>
      <c r="D256" s="31" t="s">
        <v>79</v>
      </c>
      <c r="E256" s="31" t="s">
        <v>45</v>
      </c>
      <c r="F256" s="33">
        <v>377.97</v>
      </c>
      <c r="G256" s="33">
        <v>3.0</v>
      </c>
      <c r="H256" s="33">
        <v>109.6113</v>
      </c>
    </row>
    <row r="257">
      <c r="A257" s="31" t="s">
        <v>320</v>
      </c>
      <c r="B257" s="32">
        <v>41979.0</v>
      </c>
      <c r="C257" s="31" t="s">
        <v>11</v>
      </c>
      <c r="D257" s="31" t="s">
        <v>41</v>
      </c>
      <c r="E257" s="31" t="s">
        <v>31</v>
      </c>
      <c r="F257" s="33">
        <v>23.976</v>
      </c>
      <c r="G257" s="33">
        <v>3.0</v>
      </c>
      <c r="H257" s="33">
        <v>-14.3856</v>
      </c>
    </row>
    <row r="258">
      <c r="A258" s="31" t="s">
        <v>321</v>
      </c>
      <c r="B258" s="32">
        <v>41947.0</v>
      </c>
      <c r="C258" s="31" t="s">
        <v>38</v>
      </c>
      <c r="D258" s="31" t="s">
        <v>65</v>
      </c>
      <c r="E258" s="31" t="s">
        <v>59</v>
      </c>
      <c r="F258" s="33">
        <v>8.376</v>
      </c>
      <c r="G258" s="33">
        <v>3.0</v>
      </c>
      <c r="H258" s="33">
        <v>2.7222</v>
      </c>
    </row>
    <row r="259">
      <c r="A259" s="31" t="s">
        <v>322</v>
      </c>
      <c r="B259" s="32">
        <v>41916.0</v>
      </c>
      <c r="C259" s="31" t="s">
        <v>11</v>
      </c>
      <c r="D259" s="31" t="s">
        <v>27</v>
      </c>
      <c r="E259" s="31" t="s">
        <v>28</v>
      </c>
      <c r="F259" s="33">
        <v>14.45</v>
      </c>
      <c r="G259" s="33">
        <v>5.0</v>
      </c>
      <c r="H259" s="33">
        <v>6.7915</v>
      </c>
    </row>
    <row r="260">
      <c r="A260" s="31" t="s">
        <v>323</v>
      </c>
      <c r="B260" s="32">
        <v>41822.0</v>
      </c>
      <c r="C260" s="31" t="s">
        <v>11</v>
      </c>
      <c r="D260" s="31" t="s">
        <v>72</v>
      </c>
      <c r="E260" s="31" t="s">
        <v>45</v>
      </c>
      <c r="F260" s="33">
        <v>73.98</v>
      </c>
      <c r="G260" s="33">
        <v>2.0</v>
      </c>
      <c r="H260" s="33">
        <v>19.9746</v>
      </c>
    </row>
    <row r="261">
      <c r="A261" s="31" t="s">
        <v>324</v>
      </c>
      <c r="B261" s="32">
        <v>41947.0</v>
      </c>
      <c r="C261" s="31" t="s">
        <v>11</v>
      </c>
      <c r="D261" s="31" t="s">
        <v>27</v>
      </c>
      <c r="E261" s="31" t="s">
        <v>28</v>
      </c>
      <c r="F261" s="33">
        <v>35.34</v>
      </c>
      <c r="G261" s="33">
        <v>2.0</v>
      </c>
      <c r="H261" s="33">
        <v>13.4292</v>
      </c>
    </row>
    <row r="262">
      <c r="A262" s="31" t="s">
        <v>325</v>
      </c>
      <c r="B262" s="32">
        <v>41771.0</v>
      </c>
      <c r="C262" s="31" t="s">
        <v>11</v>
      </c>
      <c r="D262" s="31" t="s">
        <v>176</v>
      </c>
      <c r="E262" s="31" t="s">
        <v>45</v>
      </c>
      <c r="F262" s="33">
        <v>700.056</v>
      </c>
      <c r="G262" s="33">
        <v>3.0</v>
      </c>
      <c r="H262" s="33">
        <v>-130.0104</v>
      </c>
    </row>
    <row r="263">
      <c r="A263" s="31" t="s">
        <v>326</v>
      </c>
      <c r="B263" s="32">
        <v>41798.0</v>
      </c>
      <c r="C263" s="31" t="s">
        <v>11</v>
      </c>
      <c r="D263" s="31" t="s">
        <v>52</v>
      </c>
      <c r="E263" s="31" t="s">
        <v>28</v>
      </c>
      <c r="F263" s="33">
        <v>585.552</v>
      </c>
      <c r="G263" s="33">
        <v>3.0</v>
      </c>
      <c r="H263" s="33">
        <v>73.194</v>
      </c>
    </row>
    <row r="264">
      <c r="A264" s="31" t="s">
        <v>327</v>
      </c>
      <c r="B264" s="32">
        <v>41859.0</v>
      </c>
      <c r="C264" s="31" t="s">
        <v>11</v>
      </c>
      <c r="D264" s="31" t="s">
        <v>27</v>
      </c>
      <c r="E264" s="31" t="s">
        <v>28</v>
      </c>
      <c r="F264" s="33">
        <v>423.28</v>
      </c>
      <c r="G264" s="33">
        <v>11.0</v>
      </c>
      <c r="H264" s="33">
        <v>110.0528</v>
      </c>
    </row>
    <row r="265">
      <c r="A265" s="31" t="s">
        <v>328</v>
      </c>
      <c r="B265" s="32">
        <v>41785.0</v>
      </c>
      <c r="C265" s="31" t="s">
        <v>11</v>
      </c>
      <c r="D265" s="31" t="s">
        <v>27</v>
      </c>
      <c r="E265" s="31" t="s">
        <v>28</v>
      </c>
      <c r="F265" s="33">
        <v>225.296</v>
      </c>
      <c r="G265" s="33">
        <v>2.0</v>
      </c>
      <c r="H265" s="33">
        <v>22.5296</v>
      </c>
    </row>
    <row r="266">
      <c r="A266" s="31" t="s">
        <v>329</v>
      </c>
      <c r="B266" s="32">
        <v>41785.0</v>
      </c>
      <c r="C266" s="31" t="s">
        <v>47</v>
      </c>
      <c r="D266" s="31" t="s">
        <v>33</v>
      </c>
      <c r="E266" s="31" t="s">
        <v>28</v>
      </c>
      <c r="F266" s="33">
        <v>48.4</v>
      </c>
      <c r="G266" s="33">
        <v>5.0</v>
      </c>
      <c r="H266" s="33">
        <v>23.232</v>
      </c>
    </row>
    <row r="267">
      <c r="A267" s="31" t="s">
        <v>330</v>
      </c>
      <c r="B267" s="32">
        <v>41975.0</v>
      </c>
      <c r="C267" s="31" t="s">
        <v>38</v>
      </c>
      <c r="D267" s="31" t="s">
        <v>41</v>
      </c>
      <c r="E267" s="31" t="s">
        <v>31</v>
      </c>
      <c r="F267" s="33">
        <v>58.36</v>
      </c>
      <c r="G267" s="33">
        <v>5.0</v>
      </c>
      <c r="H267" s="33">
        <v>-24.803</v>
      </c>
    </row>
    <row r="268">
      <c r="A268" s="31" t="s">
        <v>331</v>
      </c>
      <c r="B268" s="32">
        <v>41903.0</v>
      </c>
      <c r="C268" s="31" t="s">
        <v>38</v>
      </c>
      <c r="D268" s="31" t="s">
        <v>332</v>
      </c>
      <c r="E268" s="31" t="s">
        <v>31</v>
      </c>
      <c r="F268" s="33">
        <v>25.96</v>
      </c>
      <c r="G268" s="33">
        <v>2.0</v>
      </c>
      <c r="H268" s="33">
        <v>7.5284</v>
      </c>
    </row>
    <row r="269">
      <c r="A269" s="31" t="s">
        <v>333</v>
      </c>
      <c r="B269" s="32">
        <v>41741.0</v>
      </c>
      <c r="C269" s="31" t="s">
        <v>38</v>
      </c>
      <c r="D269" s="31" t="s">
        <v>27</v>
      </c>
      <c r="E269" s="31" t="s">
        <v>28</v>
      </c>
      <c r="F269" s="33">
        <v>1075.088</v>
      </c>
      <c r="G269" s="33">
        <v>14.0</v>
      </c>
      <c r="H269" s="33">
        <v>94.0702</v>
      </c>
    </row>
    <row r="270">
      <c r="A270" s="31" t="s">
        <v>334</v>
      </c>
      <c r="B270" s="32">
        <v>41907.0</v>
      </c>
      <c r="C270" s="31" t="s">
        <v>47</v>
      </c>
      <c r="D270" s="31" t="s">
        <v>41</v>
      </c>
      <c r="E270" s="31" t="s">
        <v>31</v>
      </c>
      <c r="F270" s="33">
        <v>33.792</v>
      </c>
      <c r="G270" s="33">
        <v>8.0</v>
      </c>
      <c r="H270" s="33">
        <v>10.56</v>
      </c>
    </row>
    <row r="271">
      <c r="A271" s="31" t="s">
        <v>335</v>
      </c>
      <c r="B271" s="32">
        <v>41944.0</v>
      </c>
      <c r="C271" s="31" t="s">
        <v>11</v>
      </c>
      <c r="D271" s="31" t="s">
        <v>211</v>
      </c>
      <c r="E271" s="31" t="s">
        <v>28</v>
      </c>
      <c r="F271" s="33">
        <v>443.92</v>
      </c>
      <c r="G271" s="33">
        <v>5.0</v>
      </c>
      <c r="H271" s="33">
        <v>-94.333</v>
      </c>
    </row>
    <row r="272">
      <c r="A272" s="31" t="s">
        <v>336</v>
      </c>
      <c r="B272" s="32">
        <v>41712.0</v>
      </c>
      <c r="C272" s="31" t="s">
        <v>47</v>
      </c>
      <c r="D272" s="31" t="s">
        <v>113</v>
      </c>
      <c r="E272" s="31" t="s">
        <v>59</v>
      </c>
      <c r="F272" s="33">
        <v>1139.92</v>
      </c>
      <c r="G272" s="33">
        <v>4.0</v>
      </c>
      <c r="H272" s="33">
        <v>284.98</v>
      </c>
    </row>
    <row r="273">
      <c r="A273" s="31" t="s">
        <v>337</v>
      </c>
      <c r="B273" s="32">
        <v>41720.0</v>
      </c>
      <c r="C273" s="31" t="s">
        <v>38</v>
      </c>
      <c r="D273" s="31" t="s">
        <v>39</v>
      </c>
      <c r="E273" s="31" t="s">
        <v>28</v>
      </c>
      <c r="F273" s="33">
        <v>74.352</v>
      </c>
      <c r="G273" s="33">
        <v>3.0</v>
      </c>
      <c r="H273" s="33">
        <v>23.235</v>
      </c>
    </row>
    <row r="274">
      <c r="A274" s="31" t="s">
        <v>338</v>
      </c>
      <c r="B274" s="32">
        <v>41691.0</v>
      </c>
      <c r="C274" s="31" t="s">
        <v>11</v>
      </c>
      <c r="D274" s="31" t="s">
        <v>49</v>
      </c>
      <c r="E274" s="31" t="s">
        <v>31</v>
      </c>
      <c r="F274" s="33">
        <v>8.85</v>
      </c>
      <c r="G274" s="33">
        <v>5.0</v>
      </c>
      <c r="H274" s="33">
        <v>-13.7175</v>
      </c>
    </row>
    <row r="275">
      <c r="A275" s="31" t="s">
        <v>339</v>
      </c>
      <c r="B275" s="32">
        <v>41758.0</v>
      </c>
      <c r="C275" s="31" t="s">
        <v>11</v>
      </c>
      <c r="D275" s="31" t="s">
        <v>58</v>
      </c>
      <c r="E275" s="31" t="s">
        <v>59</v>
      </c>
      <c r="F275" s="33">
        <v>51.96</v>
      </c>
      <c r="G275" s="33">
        <v>2.0</v>
      </c>
      <c r="H275" s="33">
        <v>12.99</v>
      </c>
    </row>
    <row r="276">
      <c r="A276" s="31" t="s">
        <v>340</v>
      </c>
      <c r="B276" s="32">
        <v>41728.0</v>
      </c>
      <c r="C276" s="31" t="s">
        <v>11</v>
      </c>
      <c r="D276" s="31" t="s">
        <v>79</v>
      </c>
      <c r="E276" s="31" t="s">
        <v>45</v>
      </c>
      <c r="F276" s="33">
        <v>49.65</v>
      </c>
      <c r="G276" s="33">
        <v>5.0</v>
      </c>
      <c r="H276" s="33">
        <v>20.853</v>
      </c>
    </row>
    <row r="277">
      <c r="A277" s="31" t="s">
        <v>341</v>
      </c>
      <c r="B277" s="32">
        <v>41908.0</v>
      </c>
      <c r="C277" s="31" t="s">
        <v>47</v>
      </c>
      <c r="D277" s="31" t="s">
        <v>52</v>
      </c>
      <c r="E277" s="31" t="s">
        <v>28</v>
      </c>
      <c r="F277" s="33">
        <v>310.12</v>
      </c>
      <c r="G277" s="33">
        <v>2.0</v>
      </c>
      <c r="H277" s="33">
        <v>80.6312</v>
      </c>
    </row>
    <row r="278">
      <c r="A278" s="31" t="s">
        <v>342</v>
      </c>
      <c r="B278" s="32">
        <v>41806.0</v>
      </c>
      <c r="C278" s="31" t="s">
        <v>11</v>
      </c>
      <c r="D278" s="31" t="s">
        <v>79</v>
      </c>
      <c r="E278" s="31" t="s">
        <v>45</v>
      </c>
      <c r="F278" s="33">
        <v>41.4</v>
      </c>
      <c r="G278" s="33">
        <v>5.0</v>
      </c>
      <c r="H278" s="33">
        <v>19.458</v>
      </c>
    </row>
    <row r="279">
      <c r="A279" s="31" t="s">
        <v>343</v>
      </c>
      <c r="B279" s="32">
        <v>41818.0</v>
      </c>
      <c r="C279" s="31" t="s">
        <v>38</v>
      </c>
      <c r="D279" s="31" t="s">
        <v>36</v>
      </c>
      <c r="E279" s="31" t="s">
        <v>31</v>
      </c>
      <c r="F279" s="33">
        <v>6.08</v>
      </c>
      <c r="G279" s="33">
        <v>1.0</v>
      </c>
      <c r="H279" s="33">
        <v>3.04</v>
      </c>
    </row>
    <row r="280">
      <c r="A280" s="31" t="s">
        <v>344</v>
      </c>
      <c r="B280" s="32">
        <v>41884.0</v>
      </c>
      <c r="C280" s="31" t="s">
        <v>11</v>
      </c>
      <c r="D280" s="31" t="s">
        <v>79</v>
      </c>
      <c r="E280" s="31" t="s">
        <v>45</v>
      </c>
      <c r="F280" s="33">
        <v>19.9</v>
      </c>
      <c r="G280" s="33">
        <v>1.0</v>
      </c>
      <c r="H280" s="33">
        <v>8.955</v>
      </c>
    </row>
    <row r="281">
      <c r="A281" s="31" t="s">
        <v>345</v>
      </c>
      <c r="B281" s="34">
        <v>42000.0</v>
      </c>
      <c r="C281" s="31" t="s">
        <v>11</v>
      </c>
      <c r="D281" s="31" t="s">
        <v>49</v>
      </c>
      <c r="E281" s="31" t="s">
        <v>31</v>
      </c>
      <c r="F281" s="33">
        <v>32.952</v>
      </c>
      <c r="G281" s="33">
        <v>6.0</v>
      </c>
      <c r="H281" s="33">
        <v>-19.7712</v>
      </c>
    </row>
    <row r="282">
      <c r="A282" s="31" t="s">
        <v>346</v>
      </c>
      <c r="B282" s="32">
        <v>41652.0</v>
      </c>
      <c r="C282" s="31" t="s">
        <v>11</v>
      </c>
      <c r="D282" s="31" t="s">
        <v>205</v>
      </c>
      <c r="E282" s="31" t="s">
        <v>59</v>
      </c>
      <c r="F282" s="33">
        <v>545.94</v>
      </c>
      <c r="G282" s="33">
        <v>6.0</v>
      </c>
      <c r="H282" s="33">
        <v>87.3504</v>
      </c>
    </row>
    <row r="283">
      <c r="A283" s="31" t="s">
        <v>347</v>
      </c>
      <c r="B283" s="32">
        <v>41832.0</v>
      </c>
      <c r="C283" s="31" t="s">
        <v>11</v>
      </c>
      <c r="D283" s="31" t="s">
        <v>52</v>
      </c>
      <c r="E283" s="31" t="s">
        <v>28</v>
      </c>
      <c r="F283" s="33">
        <v>123.136</v>
      </c>
      <c r="G283" s="33">
        <v>4.0</v>
      </c>
      <c r="H283" s="33">
        <v>13.8528</v>
      </c>
    </row>
    <row r="284">
      <c r="A284" s="31" t="s">
        <v>348</v>
      </c>
      <c r="B284" s="32">
        <v>41979.0</v>
      </c>
      <c r="C284" s="31" t="s">
        <v>11</v>
      </c>
      <c r="D284" s="31" t="s">
        <v>211</v>
      </c>
      <c r="E284" s="31" t="s">
        <v>28</v>
      </c>
      <c r="F284" s="33">
        <v>53.424</v>
      </c>
      <c r="G284" s="33">
        <v>3.0</v>
      </c>
      <c r="H284" s="33">
        <v>4.6746</v>
      </c>
    </row>
    <row r="285">
      <c r="A285" s="31" t="s">
        <v>349</v>
      </c>
      <c r="B285" s="32">
        <v>41834.0</v>
      </c>
      <c r="C285" s="31" t="s">
        <v>11</v>
      </c>
      <c r="D285" s="31" t="s">
        <v>39</v>
      </c>
      <c r="E285" s="31" t="s">
        <v>28</v>
      </c>
      <c r="F285" s="33">
        <v>55.92</v>
      </c>
      <c r="G285" s="33">
        <v>5.0</v>
      </c>
      <c r="H285" s="33">
        <v>6.291</v>
      </c>
    </row>
    <row r="286">
      <c r="A286" s="31" t="s">
        <v>350</v>
      </c>
      <c r="B286" s="32">
        <v>41811.0</v>
      </c>
      <c r="C286" s="31" t="s">
        <v>11</v>
      </c>
      <c r="D286" s="31" t="s">
        <v>77</v>
      </c>
      <c r="E286" s="31" t="s">
        <v>45</v>
      </c>
      <c r="F286" s="33">
        <v>24.896</v>
      </c>
      <c r="G286" s="33">
        <v>4.0</v>
      </c>
      <c r="H286" s="33">
        <v>8.4024</v>
      </c>
    </row>
    <row r="287">
      <c r="A287" s="31" t="s">
        <v>351</v>
      </c>
      <c r="B287" s="32">
        <v>41776.0</v>
      </c>
      <c r="C287" s="31" t="s">
        <v>47</v>
      </c>
      <c r="D287" s="31" t="s">
        <v>30</v>
      </c>
      <c r="E287" s="31" t="s">
        <v>31</v>
      </c>
      <c r="F287" s="33">
        <v>91.68</v>
      </c>
      <c r="G287" s="33">
        <v>3.0</v>
      </c>
      <c r="H287" s="33">
        <v>45.84</v>
      </c>
    </row>
    <row r="288">
      <c r="A288" s="31" t="s">
        <v>352</v>
      </c>
      <c r="B288" s="34">
        <v>41936.0</v>
      </c>
      <c r="C288" s="31" t="s">
        <v>11</v>
      </c>
      <c r="D288" s="31" t="s">
        <v>27</v>
      </c>
      <c r="E288" s="31" t="s">
        <v>28</v>
      </c>
      <c r="F288" s="33">
        <v>34.272</v>
      </c>
      <c r="G288" s="33">
        <v>3.0</v>
      </c>
      <c r="H288" s="33">
        <v>11.1384</v>
      </c>
    </row>
    <row r="289">
      <c r="A289" s="31" t="s">
        <v>353</v>
      </c>
      <c r="B289" s="32">
        <v>41875.0</v>
      </c>
      <c r="C289" s="31" t="s">
        <v>38</v>
      </c>
      <c r="D289" s="31" t="s">
        <v>354</v>
      </c>
      <c r="E289" s="31" t="s">
        <v>28</v>
      </c>
      <c r="F289" s="33">
        <v>8.288</v>
      </c>
      <c r="G289" s="33">
        <v>2.0</v>
      </c>
      <c r="H289" s="33">
        <v>2.6936</v>
      </c>
    </row>
    <row r="290">
      <c r="A290" s="31" t="s">
        <v>355</v>
      </c>
      <c r="B290" s="32">
        <v>41912.0</v>
      </c>
      <c r="C290" s="31" t="s">
        <v>11</v>
      </c>
      <c r="D290" s="31" t="s">
        <v>52</v>
      </c>
      <c r="E290" s="31" t="s">
        <v>28</v>
      </c>
      <c r="F290" s="33">
        <v>43.176</v>
      </c>
      <c r="G290" s="33">
        <v>7.0</v>
      </c>
      <c r="H290" s="33">
        <v>13.4925</v>
      </c>
    </row>
    <row r="291">
      <c r="A291" s="31" t="s">
        <v>356</v>
      </c>
      <c r="B291" s="34">
        <v>41960.0</v>
      </c>
      <c r="C291" s="31" t="s">
        <v>38</v>
      </c>
      <c r="D291" s="31" t="s">
        <v>119</v>
      </c>
      <c r="E291" s="31" t="s">
        <v>45</v>
      </c>
      <c r="F291" s="33">
        <v>2934.33</v>
      </c>
      <c r="G291" s="33">
        <v>7.0</v>
      </c>
      <c r="H291" s="33">
        <v>792.2691</v>
      </c>
    </row>
    <row r="292">
      <c r="A292" s="31" t="s">
        <v>357</v>
      </c>
      <c r="B292" s="32">
        <v>41840.0</v>
      </c>
      <c r="C292" s="31" t="s">
        <v>47</v>
      </c>
      <c r="D292" s="31" t="s">
        <v>41</v>
      </c>
      <c r="E292" s="31" t="s">
        <v>31</v>
      </c>
      <c r="F292" s="33">
        <v>342.864</v>
      </c>
      <c r="G292" s="33">
        <v>3.0</v>
      </c>
      <c r="H292" s="33">
        <v>38.5722</v>
      </c>
    </row>
    <row r="293">
      <c r="A293" s="31" t="s">
        <v>358</v>
      </c>
      <c r="B293" s="32">
        <v>41780.0</v>
      </c>
      <c r="C293" s="31" t="s">
        <v>47</v>
      </c>
      <c r="D293" s="31" t="s">
        <v>27</v>
      </c>
      <c r="E293" s="31" t="s">
        <v>28</v>
      </c>
      <c r="F293" s="33">
        <v>31.84</v>
      </c>
      <c r="G293" s="33">
        <v>8.0</v>
      </c>
      <c r="H293" s="33">
        <v>10.5072</v>
      </c>
    </row>
    <row r="294">
      <c r="A294" s="31" t="s">
        <v>359</v>
      </c>
      <c r="B294" s="32">
        <v>41667.0</v>
      </c>
      <c r="C294" s="31" t="s">
        <v>11</v>
      </c>
      <c r="D294" s="31" t="s">
        <v>79</v>
      </c>
      <c r="E294" s="31" t="s">
        <v>45</v>
      </c>
      <c r="F294" s="33">
        <v>3.928</v>
      </c>
      <c r="G294" s="33">
        <v>1.0</v>
      </c>
      <c r="H294" s="33">
        <v>1.3257</v>
      </c>
    </row>
    <row r="295">
      <c r="A295" s="31" t="s">
        <v>360</v>
      </c>
      <c r="B295" s="34">
        <v>41989.0</v>
      </c>
      <c r="C295" s="31" t="s">
        <v>47</v>
      </c>
      <c r="D295" s="31" t="s">
        <v>27</v>
      </c>
      <c r="E295" s="31" t="s">
        <v>28</v>
      </c>
      <c r="F295" s="33">
        <v>44.46</v>
      </c>
      <c r="G295" s="33">
        <v>2.0</v>
      </c>
      <c r="H295" s="33">
        <v>14.6718</v>
      </c>
    </row>
    <row r="296">
      <c r="A296" s="31" t="s">
        <v>361</v>
      </c>
      <c r="B296" s="32">
        <v>41875.0</v>
      </c>
      <c r="C296" s="31" t="s">
        <v>38</v>
      </c>
      <c r="D296" s="31" t="s">
        <v>79</v>
      </c>
      <c r="E296" s="31" t="s">
        <v>45</v>
      </c>
      <c r="F296" s="33">
        <v>13.28</v>
      </c>
      <c r="G296" s="33">
        <v>2.0</v>
      </c>
      <c r="H296" s="33">
        <v>6.3744</v>
      </c>
    </row>
    <row r="297">
      <c r="A297" s="31" t="s">
        <v>362</v>
      </c>
      <c r="B297" s="34">
        <v>41985.0</v>
      </c>
      <c r="C297" s="31" t="s">
        <v>38</v>
      </c>
      <c r="D297" s="31" t="s">
        <v>41</v>
      </c>
      <c r="E297" s="31" t="s">
        <v>31</v>
      </c>
      <c r="F297" s="33">
        <v>210.392</v>
      </c>
      <c r="G297" s="33">
        <v>2.0</v>
      </c>
      <c r="H297" s="33">
        <v>-336.6272</v>
      </c>
    </row>
    <row r="298">
      <c r="A298" s="31" t="s">
        <v>363</v>
      </c>
      <c r="B298" s="32">
        <v>41820.0</v>
      </c>
      <c r="C298" s="31" t="s">
        <v>38</v>
      </c>
      <c r="D298" s="31" t="s">
        <v>27</v>
      </c>
      <c r="E298" s="31" t="s">
        <v>28</v>
      </c>
      <c r="F298" s="33">
        <v>32.4</v>
      </c>
      <c r="G298" s="33">
        <v>5.0</v>
      </c>
      <c r="H298" s="33">
        <v>10.368</v>
      </c>
    </row>
    <row r="299">
      <c r="A299" s="31" t="s">
        <v>364</v>
      </c>
      <c r="B299" s="34">
        <v>41993.0</v>
      </c>
      <c r="C299" s="31" t="s">
        <v>11</v>
      </c>
      <c r="D299" s="31" t="s">
        <v>52</v>
      </c>
      <c r="E299" s="31" t="s">
        <v>28</v>
      </c>
      <c r="F299" s="33">
        <v>31.05</v>
      </c>
      <c r="G299" s="33">
        <v>3.0</v>
      </c>
      <c r="H299" s="33">
        <v>14.904</v>
      </c>
    </row>
    <row r="300">
      <c r="A300" s="31" t="s">
        <v>365</v>
      </c>
      <c r="B300" s="32">
        <v>41854.0</v>
      </c>
      <c r="C300" s="31" t="s">
        <v>47</v>
      </c>
      <c r="D300" s="31" t="s">
        <v>39</v>
      </c>
      <c r="E300" s="31" t="s">
        <v>28</v>
      </c>
      <c r="F300" s="33">
        <v>93.024</v>
      </c>
      <c r="G300" s="33">
        <v>3.0</v>
      </c>
      <c r="H300" s="33">
        <v>33.7212</v>
      </c>
    </row>
    <row r="301">
      <c r="A301" s="31" t="s">
        <v>366</v>
      </c>
      <c r="B301" s="32">
        <v>41894.0</v>
      </c>
      <c r="C301" s="31" t="s">
        <v>11</v>
      </c>
      <c r="D301" s="31" t="s">
        <v>41</v>
      </c>
      <c r="E301" s="31" t="s">
        <v>31</v>
      </c>
      <c r="F301" s="33">
        <v>5.18</v>
      </c>
      <c r="G301" s="33">
        <v>5.0</v>
      </c>
      <c r="H301" s="33">
        <v>-8.029</v>
      </c>
    </row>
    <row r="302">
      <c r="A302" s="31" t="s">
        <v>367</v>
      </c>
      <c r="B302" s="32">
        <v>41903.0</v>
      </c>
      <c r="C302" s="31" t="s">
        <v>11</v>
      </c>
      <c r="D302" s="31" t="s">
        <v>27</v>
      </c>
      <c r="E302" s="31" t="s">
        <v>28</v>
      </c>
      <c r="F302" s="33">
        <v>15.56</v>
      </c>
      <c r="G302" s="33">
        <v>2.0</v>
      </c>
      <c r="H302" s="33">
        <v>7.3132</v>
      </c>
    </row>
    <row r="303">
      <c r="A303" s="31" t="s">
        <v>368</v>
      </c>
      <c r="B303" s="32">
        <v>41950.0</v>
      </c>
      <c r="C303" s="31" t="s">
        <v>38</v>
      </c>
      <c r="D303" s="31" t="s">
        <v>41</v>
      </c>
      <c r="E303" s="31" t="s">
        <v>31</v>
      </c>
      <c r="F303" s="33">
        <v>26.046</v>
      </c>
      <c r="G303" s="33">
        <v>3.0</v>
      </c>
      <c r="H303" s="33">
        <v>-44.2782</v>
      </c>
    </row>
    <row r="304">
      <c r="A304" s="31" t="s">
        <v>369</v>
      </c>
      <c r="B304" s="32">
        <v>41883.0</v>
      </c>
      <c r="C304" s="31" t="s">
        <v>11</v>
      </c>
      <c r="D304" s="31" t="s">
        <v>41</v>
      </c>
      <c r="E304" s="31" t="s">
        <v>31</v>
      </c>
      <c r="F304" s="33">
        <v>3.648</v>
      </c>
      <c r="G304" s="33">
        <v>3.0</v>
      </c>
      <c r="H304" s="33">
        <v>-6.0192</v>
      </c>
    </row>
    <row r="305">
      <c r="A305" s="31" t="s">
        <v>370</v>
      </c>
      <c r="B305" s="32">
        <v>41974.0</v>
      </c>
      <c r="C305" s="31" t="s">
        <v>11</v>
      </c>
      <c r="D305" s="31" t="s">
        <v>65</v>
      </c>
      <c r="E305" s="31" t="s">
        <v>59</v>
      </c>
      <c r="F305" s="33">
        <v>95.968</v>
      </c>
      <c r="G305" s="33">
        <v>4.0</v>
      </c>
      <c r="H305" s="33">
        <v>9.5968</v>
      </c>
    </row>
    <row r="306">
      <c r="A306" s="31" t="s">
        <v>371</v>
      </c>
      <c r="B306" s="32">
        <v>41777.0</v>
      </c>
      <c r="C306" s="31" t="s">
        <v>11</v>
      </c>
      <c r="D306" s="31" t="s">
        <v>44</v>
      </c>
      <c r="E306" s="31" t="s">
        <v>45</v>
      </c>
      <c r="F306" s="33">
        <v>149.232</v>
      </c>
      <c r="G306" s="33">
        <v>3.0</v>
      </c>
      <c r="H306" s="33">
        <v>3.7308</v>
      </c>
    </row>
    <row r="307">
      <c r="A307" s="31" t="s">
        <v>372</v>
      </c>
      <c r="B307" s="34">
        <v>41953.0</v>
      </c>
      <c r="C307" s="31" t="s">
        <v>11</v>
      </c>
      <c r="D307" s="31" t="s">
        <v>27</v>
      </c>
      <c r="E307" s="31" t="s">
        <v>28</v>
      </c>
      <c r="F307" s="33">
        <v>601.536</v>
      </c>
      <c r="G307" s="33">
        <v>8.0</v>
      </c>
      <c r="H307" s="33">
        <v>60.1536</v>
      </c>
    </row>
    <row r="308">
      <c r="A308" s="31" t="s">
        <v>373</v>
      </c>
      <c r="B308" s="34">
        <v>41996.0</v>
      </c>
      <c r="C308" s="31" t="s">
        <v>11</v>
      </c>
      <c r="D308" s="31" t="s">
        <v>297</v>
      </c>
      <c r="E308" s="31" t="s">
        <v>31</v>
      </c>
      <c r="F308" s="33">
        <v>207.24</v>
      </c>
      <c r="G308" s="33">
        <v>11.0</v>
      </c>
      <c r="H308" s="33">
        <v>58.0272</v>
      </c>
    </row>
    <row r="309">
      <c r="A309" s="31" t="s">
        <v>374</v>
      </c>
      <c r="B309" s="32">
        <v>41772.0</v>
      </c>
      <c r="C309" s="31" t="s">
        <v>11</v>
      </c>
      <c r="D309" s="31" t="s">
        <v>27</v>
      </c>
      <c r="E309" s="31" t="s">
        <v>28</v>
      </c>
      <c r="F309" s="33">
        <v>149.97</v>
      </c>
      <c r="G309" s="33">
        <v>3.0</v>
      </c>
      <c r="H309" s="33">
        <v>52.4895</v>
      </c>
    </row>
    <row r="310">
      <c r="A310" s="31" t="s">
        <v>375</v>
      </c>
      <c r="B310" s="32">
        <v>41914.0</v>
      </c>
      <c r="C310" s="31" t="s">
        <v>38</v>
      </c>
      <c r="D310" s="31" t="s">
        <v>39</v>
      </c>
      <c r="E310" s="31" t="s">
        <v>28</v>
      </c>
      <c r="F310" s="33">
        <v>9.408</v>
      </c>
      <c r="G310" s="33">
        <v>2.0</v>
      </c>
      <c r="H310" s="33">
        <v>3.4104</v>
      </c>
    </row>
    <row r="311">
      <c r="A311" s="31" t="s">
        <v>376</v>
      </c>
      <c r="B311" s="32">
        <v>41862.0</v>
      </c>
      <c r="C311" s="31" t="s">
        <v>11</v>
      </c>
      <c r="D311" s="31" t="s">
        <v>79</v>
      </c>
      <c r="E311" s="31" t="s">
        <v>45</v>
      </c>
      <c r="F311" s="33">
        <v>375.34</v>
      </c>
      <c r="G311" s="33">
        <v>1.0</v>
      </c>
      <c r="H311" s="33">
        <v>18.767</v>
      </c>
    </row>
    <row r="312">
      <c r="A312" s="31" t="s">
        <v>377</v>
      </c>
      <c r="B312" s="34">
        <v>41957.0</v>
      </c>
      <c r="C312" s="31" t="s">
        <v>38</v>
      </c>
      <c r="D312" s="31" t="s">
        <v>41</v>
      </c>
      <c r="E312" s="31" t="s">
        <v>31</v>
      </c>
      <c r="F312" s="33">
        <v>20.736</v>
      </c>
      <c r="G312" s="33">
        <v>4.0</v>
      </c>
      <c r="H312" s="33">
        <v>7.2576</v>
      </c>
    </row>
    <row r="313">
      <c r="A313" s="31" t="s">
        <v>378</v>
      </c>
      <c r="B313" s="34">
        <v>41960.0</v>
      </c>
      <c r="C313" s="31" t="s">
        <v>38</v>
      </c>
      <c r="D313" s="31" t="s">
        <v>27</v>
      </c>
      <c r="E313" s="31" t="s">
        <v>28</v>
      </c>
      <c r="F313" s="33">
        <v>99.98</v>
      </c>
      <c r="G313" s="33">
        <v>2.0</v>
      </c>
      <c r="H313" s="33">
        <v>7.9984</v>
      </c>
    </row>
    <row r="314">
      <c r="A314" s="31" t="s">
        <v>379</v>
      </c>
      <c r="B314" s="34">
        <v>41923.0</v>
      </c>
      <c r="C314" s="31" t="s">
        <v>11</v>
      </c>
      <c r="D314" s="31" t="s">
        <v>77</v>
      </c>
      <c r="E314" s="31" t="s">
        <v>45</v>
      </c>
      <c r="F314" s="33">
        <v>281.904</v>
      </c>
      <c r="G314" s="33">
        <v>2.0</v>
      </c>
      <c r="H314" s="33">
        <v>10.5714</v>
      </c>
    </row>
    <row r="315">
      <c r="A315" s="31" t="s">
        <v>380</v>
      </c>
      <c r="B315" s="32">
        <v>41781.0</v>
      </c>
      <c r="C315" s="31" t="s">
        <v>11</v>
      </c>
      <c r="D315" s="31" t="s">
        <v>189</v>
      </c>
      <c r="E315" s="31" t="s">
        <v>59</v>
      </c>
      <c r="F315" s="33">
        <v>135.98</v>
      </c>
      <c r="G315" s="33">
        <v>2.0</v>
      </c>
      <c r="H315" s="33">
        <v>33.995</v>
      </c>
    </row>
    <row r="316">
      <c r="A316" s="31" t="s">
        <v>381</v>
      </c>
      <c r="B316" s="32">
        <v>41835.0</v>
      </c>
      <c r="C316" s="31" t="s">
        <v>38</v>
      </c>
      <c r="D316" s="31" t="s">
        <v>382</v>
      </c>
      <c r="E316" s="31" t="s">
        <v>31</v>
      </c>
      <c r="F316" s="33">
        <v>2.97</v>
      </c>
      <c r="G316" s="33">
        <v>3.0</v>
      </c>
      <c r="H316" s="33">
        <v>1.3068</v>
      </c>
    </row>
    <row r="317">
      <c r="A317" s="31" t="s">
        <v>383</v>
      </c>
      <c r="B317" s="32">
        <v>41734.0</v>
      </c>
      <c r="C317" s="31" t="s">
        <v>38</v>
      </c>
      <c r="D317" s="31" t="s">
        <v>113</v>
      </c>
      <c r="E317" s="31" t="s">
        <v>59</v>
      </c>
      <c r="F317" s="33">
        <v>22.96</v>
      </c>
      <c r="G317" s="33">
        <v>7.0</v>
      </c>
      <c r="H317" s="33">
        <v>7.5768</v>
      </c>
    </row>
    <row r="318">
      <c r="A318" s="31" t="s">
        <v>384</v>
      </c>
      <c r="B318" s="32">
        <v>41899.0</v>
      </c>
      <c r="C318" s="31" t="s">
        <v>11</v>
      </c>
      <c r="D318" s="31" t="s">
        <v>65</v>
      </c>
      <c r="E318" s="31" t="s">
        <v>59</v>
      </c>
      <c r="F318" s="33">
        <v>47.984</v>
      </c>
      <c r="G318" s="33">
        <v>2.0</v>
      </c>
      <c r="H318" s="33">
        <v>13.1956</v>
      </c>
    </row>
    <row r="319">
      <c r="A319" s="31" t="s">
        <v>385</v>
      </c>
      <c r="B319" s="32">
        <v>41912.0</v>
      </c>
      <c r="C319" s="31" t="s">
        <v>38</v>
      </c>
      <c r="D319" s="31" t="s">
        <v>79</v>
      </c>
      <c r="E319" s="31" t="s">
        <v>45</v>
      </c>
      <c r="F319" s="33">
        <v>15.24</v>
      </c>
      <c r="G319" s="33">
        <v>3.0</v>
      </c>
      <c r="H319" s="33">
        <v>5.1816</v>
      </c>
    </row>
    <row r="320">
      <c r="A320" s="31" t="s">
        <v>386</v>
      </c>
      <c r="B320" s="32">
        <v>41894.0</v>
      </c>
      <c r="C320" s="31" t="s">
        <v>11</v>
      </c>
      <c r="D320" s="31" t="s">
        <v>44</v>
      </c>
      <c r="E320" s="31" t="s">
        <v>45</v>
      </c>
      <c r="F320" s="33">
        <v>63.924</v>
      </c>
      <c r="G320" s="33">
        <v>7.0</v>
      </c>
      <c r="H320" s="33">
        <v>-46.8776</v>
      </c>
    </row>
    <row r="321">
      <c r="A321" s="31" t="s">
        <v>387</v>
      </c>
      <c r="B321" s="34">
        <v>41999.0</v>
      </c>
      <c r="C321" s="31" t="s">
        <v>11</v>
      </c>
      <c r="D321" s="31" t="s">
        <v>27</v>
      </c>
      <c r="E321" s="31" t="s">
        <v>28</v>
      </c>
      <c r="F321" s="33">
        <v>11.91</v>
      </c>
      <c r="G321" s="33">
        <v>3.0</v>
      </c>
      <c r="H321" s="33">
        <v>0.1191</v>
      </c>
    </row>
    <row r="322">
      <c r="A322" s="31" t="s">
        <v>388</v>
      </c>
      <c r="B322" s="32">
        <v>41866.0</v>
      </c>
      <c r="C322" s="31" t="s">
        <v>11</v>
      </c>
      <c r="D322" s="31" t="s">
        <v>41</v>
      </c>
      <c r="E322" s="31" t="s">
        <v>31</v>
      </c>
      <c r="F322" s="33">
        <v>30.96</v>
      </c>
      <c r="G322" s="33">
        <v>8.0</v>
      </c>
      <c r="H322" s="33">
        <v>-52.632</v>
      </c>
    </row>
    <row r="323">
      <c r="A323" s="31" t="s">
        <v>389</v>
      </c>
      <c r="B323" s="34">
        <v>41961.0</v>
      </c>
      <c r="C323" s="31" t="s">
        <v>11</v>
      </c>
      <c r="D323" s="31" t="s">
        <v>77</v>
      </c>
      <c r="E323" s="31" t="s">
        <v>45</v>
      </c>
      <c r="F323" s="33">
        <v>50.997</v>
      </c>
      <c r="G323" s="33">
        <v>1.0</v>
      </c>
      <c r="H323" s="33">
        <v>-40.7976</v>
      </c>
    </row>
    <row r="324">
      <c r="A324" s="31" t="s">
        <v>390</v>
      </c>
      <c r="B324" s="34">
        <v>42003.0</v>
      </c>
      <c r="C324" s="31" t="s">
        <v>38</v>
      </c>
      <c r="D324" s="31" t="s">
        <v>41</v>
      </c>
      <c r="E324" s="31" t="s">
        <v>31</v>
      </c>
      <c r="F324" s="33">
        <v>12.984</v>
      </c>
      <c r="G324" s="33">
        <v>3.0</v>
      </c>
      <c r="H324" s="33">
        <v>4.7067</v>
      </c>
    </row>
    <row r="325">
      <c r="A325" s="31" t="s">
        <v>391</v>
      </c>
      <c r="B325" s="32">
        <v>41909.0</v>
      </c>
      <c r="C325" s="31" t="s">
        <v>11</v>
      </c>
      <c r="D325" s="31" t="s">
        <v>27</v>
      </c>
      <c r="E325" s="31" t="s">
        <v>28</v>
      </c>
      <c r="F325" s="33">
        <v>603.92</v>
      </c>
      <c r="G325" s="33">
        <v>5.0</v>
      </c>
      <c r="H325" s="33">
        <v>45.294</v>
      </c>
    </row>
    <row r="326">
      <c r="A326" s="31" t="s">
        <v>392</v>
      </c>
      <c r="B326" s="34">
        <v>41993.0</v>
      </c>
      <c r="C326" s="31" t="s">
        <v>11</v>
      </c>
      <c r="D326" s="31" t="s">
        <v>254</v>
      </c>
      <c r="E326" s="31" t="s">
        <v>59</v>
      </c>
      <c r="F326" s="33">
        <v>43.512</v>
      </c>
      <c r="G326" s="33">
        <v>7.0</v>
      </c>
      <c r="H326" s="33">
        <v>3.8073</v>
      </c>
    </row>
    <row r="327">
      <c r="A327" s="31" t="s">
        <v>393</v>
      </c>
      <c r="B327" s="34">
        <v>41954.0</v>
      </c>
      <c r="C327" s="31" t="s">
        <v>11</v>
      </c>
      <c r="D327" s="31" t="s">
        <v>41</v>
      </c>
      <c r="E327" s="31" t="s">
        <v>31</v>
      </c>
      <c r="F327" s="33">
        <v>896.99</v>
      </c>
      <c r="G327" s="33">
        <v>5.0</v>
      </c>
      <c r="H327" s="33">
        <v>-1480.0335</v>
      </c>
    </row>
    <row r="328">
      <c r="A328" s="31" t="s">
        <v>394</v>
      </c>
      <c r="B328" s="32">
        <v>41905.0</v>
      </c>
      <c r="C328" s="31" t="s">
        <v>38</v>
      </c>
      <c r="D328" s="31" t="s">
        <v>27</v>
      </c>
      <c r="E328" s="31" t="s">
        <v>28</v>
      </c>
      <c r="F328" s="33">
        <v>435.999</v>
      </c>
      <c r="G328" s="33">
        <v>3.0</v>
      </c>
      <c r="H328" s="33">
        <v>20.5176</v>
      </c>
    </row>
    <row r="329">
      <c r="A329" s="31" t="s">
        <v>395</v>
      </c>
      <c r="B329" s="32">
        <v>41839.0</v>
      </c>
      <c r="C329" s="31" t="s">
        <v>38</v>
      </c>
      <c r="D329" s="31" t="s">
        <v>192</v>
      </c>
      <c r="E329" s="31" t="s">
        <v>45</v>
      </c>
      <c r="F329" s="33">
        <v>359.98</v>
      </c>
      <c r="G329" s="33">
        <v>2.0</v>
      </c>
      <c r="H329" s="33">
        <v>93.5948</v>
      </c>
    </row>
    <row r="330">
      <c r="A330" s="31" t="s">
        <v>396</v>
      </c>
      <c r="B330" s="32">
        <v>41670.0</v>
      </c>
      <c r="C330" s="31" t="s">
        <v>11</v>
      </c>
      <c r="D330" s="31" t="s">
        <v>27</v>
      </c>
      <c r="E330" s="31" t="s">
        <v>28</v>
      </c>
      <c r="F330" s="33">
        <v>290.666</v>
      </c>
      <c r="G330" s="33">
        <v>2.0</v>
      </c>
      <c r="H330" s="33">
        <v>3.4196</v>
      </c>
    </row>
    <row r="331">
      <c r="A331" s="31" t="s">
        <v>397</v>
      </c>
      <c r="B331" s="32">
        <v>41829.0</v>
      </c>
      <c r="C331" s="31" t="s">
        <v>38</v>
      </c>
      <c r="D331" s="31" t="s">
        <v>41</v>
      </c>
      <c r="E331" s="31" t="s">
        <v>31</v>
      </c>
      <c r="F331" s="33">
        <v>10.368</v>
      </c>
      <c r="G331" s="33">
        <v>2.0</v>
      </c>
      <c r="H331" s="33">
        <v>3.6288</v>
      </c>
    </row>
    <row r="332">
      <c r="A332" s="31" t="s">
        <v>398</v>
      </c>
      <c r="B332" s="32">
        <v>41860.0</v>
      </c>
      <c r="C332" s="31" t="s">
        <v>47</v>
      </c>
      <c r="D332" s="31" t="s">
        <v>52</v>
      </c>
      <c r="E332" s="31" t="s">
        <v>28</v>
      </c>
      <c r="F332" s="33">
        <v>1091.168</v>
      </c>
      <c r="G332" s="33">
        <v>4.0</v>
      </c>
      <c r="H332" s="33">
        <v>68.198</v>
      </c>
    </row>
    <row r="333">
      <c r="A333" s="31" t="s">
        <v>399</v>
      </c>
      <c r="B333" s="34">
        <v>41965.0</v>
      </c>
      <c r="C333" s="31" t="s">
        <v>11</v>
      </c>
      <c r="D333" s="31" t="s">
        <v>41</v>
      </c>
      <c r="E333" s="31" t="s">
        <v>31</v>
      </c>
      <c r="F333" s="33">
        <v>6.928</v>
      </c>
      <c r="G333" s="33">
        <v>1.0</v>
      </c>
      <c r="H333" s="33">
        <v>-11.0848</v>
      </c>
    </row>
    <row r="334">
      <c r="A334" s="31" t="s">
        <v>400</v>
      </c>
      <c r="B334" s="34">
        <v>41964.0</v>
      </c>
      <c r="C334" s="31" t="s">
        <v>38</v>
      </c>
      <c r="D334" s="31" t="s">
        <v>401</v>
      </c>
      <c r="E334" s="31" t="s">
        <v>59</v>
      </c>
      <c r="F334" s="33">
        <v>36.99</v>
      </c>
      <c r="G334" s="33">
        <v>1.0</v>
      </c>
      <c r="H334" s="33">
        <v>9.9873</v>
      </c>
    </row>
    <row r="335">
      <c r="A335" s="31" t="s">
        <v>402</v>
      </c>
      <c r="B335" s="32">
        <v>41752.0</v>
      </c>
      <c r="C335" s="31" t="s">
        <v>47</v>
      </c>
      <c r="D335" s="31" t="s">
        <v>44</v>
      </c>
      <c r="E335" s="31" t="s">
        <v>45</v>
      </c>
      <c r="F335" s="33">
        <v>281.372</v>
      </c>
      <c r="G335" s="33">
        <v>2.0</v>
      </c>
      <c r="H335" s="33">
        <v>-12.0588</v>
      </c>
    </row>
    <row r="336">
      <c r="A336" s="31" t="s">
        <v>403</v>
      </c>
      <c r="B336" s="32">
        <v>41709.0</v>
      </c>
      <c r="C336" s="31" t="s">
        <v>11</v>
      </c>
      <c r="D336" s="31" t="s">
        <v>79</v>
      </c>
      <c r="E336" s="31" t="s">
        <v>45</v>
      </c>
      <c r="F336" s="33">
        <v>108.92</v>
      </c>
      <c r="G336" s="33">
        <v>14.0</v>
      </c>
      <c r="H336" s="33">
        <v>49.014</v>
      </c>
    </row>
    <row r="337">
      <c r="A337" s="31" t="s">
        <v>404</v>
      </c>
      <c r="B337" s="32">
        <v>41890.0</v>
      </c>
      <c r="C337" s="31" t="s">
        <v>47</v>
      </c>
      <c r="D337" s="31" t="s">
        <v>27</v>
      </c>
      <c r="E337" s="31" t="s">
        <v>28</v>
      </c>
      <c r="F337" s="33">
        <v>56.65</v>
      </c>
      <c r="G337" s="33">
        <v>5.0</v>
      </c>
      <c r="H337" s="33">
        <v>24.3595</v>
      </c>
    </row>
    <row r="338">
      <c r="A338" s="31" t="s">
        <v>405</v>
      </c>
      <c r="B338" s="32">
        <v>41714.0</v>
      </c>
      <c r="C338" s="31" t="s">
        <v>47</v>
      </c>
      <c r="D338" s="31" t="s">
        <v>65</v>
      </c>
      <c r="E338" s="31" t="s">
        <v>59</v>
      </c>
      <c r="F338" s="33">
        <v>471.92</v>
      </c>
      <c r="G338" s="33">
        <v>2.0</v>
      </c>
      <c r="H338" s="33">
        <v>29.495</v>
      </c>
    </row>
    <row r="339">
      <c r="A339" s="31" t="s">
        <v>406</v>
      </c>
      <c r="B339" s="32">
        <v>41882.0</v>
      </c>
      <c r="C339" s="31" t="s">
        <v>11</v>
      </c>
      <c r="D339" s="31" t="s">
        <v>407</v>
      </c>
      <c r="E339" s="31" t="s">
        <v>28</v>
      </c>
      <c r="F339" s="33">
        <v>92.52</v>
      </c>
      <c r="G339" s="33">
        <v>9.0</v>
      </c>
      <c r="H339" s="33">
        <v>18.504</v>
      </c>
    </row>
    <row r="340">
      <c r="A340" s="31" t="s">
        <v>408</v>
      </c>
      <c r="B340" s="32">
        <v>41736.0</v>
      </c>
      <c r="C340" s="31" t="s">
        <v>11</v>
      </c>
      <c r="D340" s="31" t="s">
        <v>189</v>
      </c>
      <c r="E340" s="31" t="s">
        <v>59</v>
      </c>
      <c r="F340" s="33">
        <v>8.96</v>
      </c>
      <c r="G340" s="33">
        <v>2.0</v>
      </c>
      <c r="H340" s="33">
        <v>2.7776</v>
      </c>
    </row>
    <row r="341">
      <c r="A341" s="31" t="s">
        <v>409</v>
      </c>
      <c r="B341" s="32">
        <v>41878.0</v>
      </c>
      <c r="C341" s="31" t="s">
        <v>38</v>
      </c>
      <c r="D341" s="31" t="s">
        <v>113</v>
      </c>
      <c r="E341" s="31" t="s">
        <v>59</v>
      </c>
      <c r="F341" s="33">
        <v>579.95</v>
      </c>
      <c r="G341" s="33">
        <v>5.0</v>
      </c>
      <c r="H341" s="33">
        <v>168.1855</v>
      </c>
    </row>
    <row r="342">
      <c r="A342" s="31" t="s">
        <v>410</v>
      </c>
      <c r="B342" s="32">
        <v>41810.0</v>
      </c>
      <c r="C342" s="31" t="s">
        <v>11</v>
      </c>
      <c r="D342" s="31" t="s">
        <v>41</v>
      </c>
      <c r="E342" s="31" t="s">
        <v>31</v>
      </c>
      <c r="F342" s="33">
        <v>201.584</v>
      </c>
      <c r="G342" s="33">
        <v>2.0</v>
      </c>
      <c r="H342" s="33">
        <v>20.1584</v>
      </c>
    </row>
    <row r="343">
      <c r="A343" s="31" t="s">
        <v>411</v>
      </c>
      <c r="B343" s="32">
        <v>41747.0</v>
      </c>
      <c r="C343" s="31" t="s">
        <v>11</v>
      </c>
      <c r="D343" s="31" t="s">
        <v>27</v>
      </c>
      <c r="E343" s="31" t="s">
        <v>28</v>
      </c>
      <c r="F343" s="33">
        <v>287.968</v>
      </c>
      <c r="G343" s="33">
        <v>4.0</v>
      </c>
      <c r="H343" s="33">
        <v>97.1892</v>
      </c>
    </row>
    <row r="344">
      <c r="A344" s="31" t="s">
        <v>412</v>
      </c>
      <c r="B344" s="32">
        <v>41768.0</v>
      </c>
      <c r="C344" s="31" t="s">
        <v>38</v>
      </c>
      <c r="D344" s="31" t="s">
        <v>401</v>
      </c>
      <c r="E344" s="31" t="s">
        <v>59</v>
      </c>
      <c r="F344" s="33">
        <v>83.25</v>
      </c>
      <c r="G344" s="33">
        <v>3.0</v>
      </c>
      <c r="H344" s="33">
        <v>14.985</v>
      </c>
    </row>
    <row r="345">
      <c r="A345" s="31" t="s">
        <v>413</v>
      </c>
      <c r="B345" s="32">
        <v>41721.0</v>
      </c>
      <c r="C345" s="31" t="s">
        <v>11</v>
      </c>
      <c r="D345" s="31" t="s">
        <v>27</v>
      </c>
      <c r="E345" s="31" t="s">
        <v>28</v>
      </c>
      <c r="F345" s="33">
        <v>330.4</v>
      </c>
      <c r="G345" s="33">
        <v>2.0</v>
      </c>
      <c r="H345" s="33">
        <v>85.904</v>
      </c>
    </row>
    <row r="346">
      <c r="A346" s="31" t="s">
        <v>414</v>
      </c>
      <c r="B346" s="34">
        <v>41986.0</v>
      </c>
      <c r="C346" s="31" t="s">
        <v>11</v>
      </c>
      <c r="D346" s="31" t="s">
        <v>41</v>
      </c>
      <c r="E346" s="31" t="s">
        <v>31</v>
      </c>
      <c r="F346" s="33">
        <v>2.92</v>
      </c>
      <c r="G346" s="33">
        <v>1.0</v>
      </c>
      <c r="H346" s="33">
        <v>0.365</v>
      </c>
    </row>
    <row r="347">
      <c r="A347" s="31" t="s">
        <v>415</v>
      </c>
      <c r="B347" s="32">
        <v>41891.0</v>
      </c>
      <c r="C347" s="31" t="s">
        <v>11</v>
      </c>
      <c r="D347" s="31" t="s">
        <v>77</v>
      </c>
      <c r="E347" s="31" t="s">
        <v>45</v>
      </c>
      <c r="F347" s="33">
        <v>15.552</v>
      </c>
      <c r="G347" s="33">
        <v>3.0</v>
      </c>
      <c r="H347" s="33">
        <v>5.4432</v>
      </c>
    </row>
    <row r="348">
      <c r="A348" s="31" t="s">
        <v>416</v>
      </c>
      <c r="B348" s="34">
        <v>41960.0</v>
      </c>
      <c r="C348" s="31" t="s">
        <v>11</v>
      </c>
      <c r="D348" s="31" t="s">
        <v>77</v>
      </c>
      <c r="E348" s="31" t="s">
        <v>45</v>
      </c>
      <c r="F348" s="33">
        <v>12.448</v>
      </c>
      <c r="G348" s="33">
        <v>2.0</v>
      </c>
      <c r="H348" s="33">
        <v>3.89</v>
      </c>
    </row>
    <row r="349">
      <c r="A349" s="31" t="s">
        <v>417</v>
      </c>
      <c r="B349" s="32">
        <v>41905.0</v>
      </c>
      <c r="C349" s="31" t="s">
        <v>11</v>
      </c>
      <c r="D349" s="31" t="s">
        <v>79</v>
      </c>
      <c r="E349" s="31" t="s">
        <v>45</v>
      </c>
      <c r="F349" s="33">
        <v>139.44</v>
      </c>
      <c r="G349" s="33">
        <v>3.0</v>
      </c>
      <c r="H349" s="33">
        <v>47.061</v>
      </c>
    </row>
    <row r="350">
      <c r="A350" s="31" t="s">
        <v>418</v>
      </c>
      <c r="B350" s="32">
        <v>41757.0</v>
      </c>
      <c r="C350" s="31" t="s">
        <v>38</v>
      </c>
      <c r="D350" s="31" t="s">
        <v>44</v>
      </c>
      <c r="E350" s="31" t="s">
        <v>45</v>
      </c>
      <c r="F350" s="33">
        <v>6.912</v>
      </c>
      <c r="G350" s="33">
        <v>3.0</v>
      </c>
      <c r="H350" s="33">
        <v>2.5056</v>
      </c>
    </row>
    <row r="351">
      <c r="A351" s="31" t="s">
        <v>419</v>
      </c>
      <c r="B351" s="32">
        <v>41896.0</v>
      </c>
      <c r="C351" s="31" t="s">
        <v>11</v>
      </c>
      <c r="D351" s="31" t="s">
        <v>173</v>
      </c>
      <c r="E351" s="31" t="s">
        <v>59</v>
      </c>
      <c r="F351" s="33">
        <v>142.4</v>
      </c>
      <c r="G351" s="33">
        <v>5.0</v>
      </c>
      <c r="H351" s="33">
        <v>52.688</v>
      </c>
    </row>
    <row r="352">
      <c r="A352" s="31" t="s">
        <v>420</v>
      </c>
      <c r="B352" s="32">
        <v>41860.0</v>
      </c>
      <c r="C352" s="31" t="s">
        <v>11</v>
      </c>
      <c r="D352" s="31" t="s">
        <v>52</v>
      </c>
      <c r="E352" s="31" t="s">
        <v>28</v>
      </c>
      <c r="F352" s="33">
        <v>2060.744</v>
      </c>
      <c r="G352" s="33">
        <v>7.0</v>
      </c>
      <c r="H352" s="33">
        <v>643.9825</v>
      </c>
    </row>
    <row r="353">
      <c r="A353" s="31" t="s">
        <v>421</v>
      </c>
      <c r="B353" s="34">
        <v>41993.0</v>
      </c>
      <c r="C353" s="31" t="s">
        <v>11</v>
      </c>
      <c r="D353" s="31" t="s">
        <v>27</v>
      </c>
      <c r="E353" s="31" t="s">
        <v>28</v>
      </c>
      <c r="F353" s="33">
        <v>487.984</v>
      </c>
      <c r="G353" s="33">
        <v>2.0</v>
      </c>
      <c r="H353" s="33">
        <v>152.495</v>
      </c>
    </row>
    <row r="354">
      <c r="A354" s="31" t="s">
        <v>422</v>
      </c>
      <c r="B354" s="32">
        <v>41845.0</v>
      </c>
      <c r="C354" s="31" t="s">
        <v>47</v>
      </c>
      <c r="D354" s="31" t="s">
        <v>27</v>
      </c>
      <c r="E354" s="31" t="s">
        <v>28</v>
      </c>
      <c r="F354" s="33">
        <v>6.48</v>
      </c>
      <c r="G354" s="33">
        <v>1.0</v>
      </c>
      <c r="H354" s="33">
        <v>3.1752</v>
      </c>
    </row>
    <row r="355">
      <c r="A355" s="31" t="s">
        <v>423</v>
      </c>
      <c r="B355" s="32">
        <v>41981.0</v>
      </c>
      <c r="C355" s="31" t="s">
        <v>11</v>
      </c>
      <c r="D355" s="31" t="s">
        <v>211</v>
      </c>
      <c r="E355" s="31" t="s">
        <v>28</v>
      </c>
      <c r="F355" s="33">
        <v>27.888</v>
      </c>
      <c r="G355" s="33">
        <v>7.0</v>
      </c>
      <c r="H355" s="33">
        <v>9.0636</v>
      </c>
    </row>
    <row r="356">
      <c r="A356" s="31" t="s">
        <v>424</v>
      </c>
      <c r="B356" s="32">
        <v>41895.0</v>
      </c>
      <c r="C356" s="31" t="s">
        <v>38</v>
      </c>
      <c r="D356" s="31" t="s">
        <v>39</v>
      </c>
      <c r="E356" s="31" t="s">
        <v>28</v>
      </c>
      <c r="F356" s="33">
        <v>79.4</v>
      </c>
      <c r="G356" s="33">
        <v>5.0</v>
      </c>
      <c r="H356" s="33">
        <v>5.955</v>
      </c>
    </row>
    <row r="357">
      <c r="A357" s="31" t="s">
        <v>425</v>
      </c>
      <c r="B357" s="34">
        <v>41966.0</v>
      </c>
      <c r="C357" s="31" t="s">
        <v>38</v>
      </c>
      <c r="D357" s="31" t="s">
        <v>41</v>
      </c>
      <c r="E357" s="31" t="s">
        <v>31</v>
      </c>
      <c r="F357" s="33">
        <v>6.368</v>
      </c>
      <c r="G357" s="33">
        <v>2.0</v>
      </c>
      <c r="H357" s="33">
        <v>-2.5472</v>
      </c>
    </row>
    <row r="358">
      <c r="A358" s="31" t="s">
        <v>426</v>
      </c>
      <c r="B358" s="32">
        <v>41981.0</v>
      </c>
      <c r="C358" s="31" t="s">
        <v>11</v>
      </c>
      <c r="D358" s="31" t="s">
        <v>52</v>
      </c>
      <c r="E358" s="31" t="s">
        <v>28</v>
      </c>
      <c r="F358" s="33">
        <v>45.68</v>
      </c>
      <c r="G358" s="33">
        <v>2.0</v>
      </c>
      <c r="H358" s="33">
        <v>21.0128</v>
      </c>
    </row>
    <row r="359">
      <c r="A359" s="31" t="s">
        <v>427</v>
      </c>
      <c r="B359" s="34">
        <v>42003.0</v>
      </c>
      <c r="C359" s="31" t="s">
        <v>38</v>
      </c>
      <c r="D359" s="31" t="s">
        <v>39</v>
      </c>
      <c r="E359" s="31" t="s">
        <v>28</v>
      </c>
      <c r="F359" s="33">
        <v>551.985</v>
      </c>
      <c r="G359" s="33">
        <v>5.0</v>
      </c>
      <c r="H359" s="33">
        <v>-459.9875</v>
      </c>
    </row>
    <row r="360">
      <c r="A360" s="31" t="s">
        <v>428</v>
      </c>
      <c r="B360" s="34">
        <v>41936.0</v>
      </c>
      <c r="C360" s="31" t="s">
        <v>11</v>
      </c>
      <c r="D360" s="31" t="s">
        <v>205</v>
      </c>
      <c r="E360" s="31" t="s">
        <v>59</v>
      </c>
      <c r="F360" s="33">
        <v>11.85</v>
      </c>
      <c r="G360" s="33">
        <v>3.0</v>
      </c>
      <c r="H360" s="33">
        <v>3.792</v>
      </c>
    </row>
    <row r="361">
      <c r="A361" s="31" t="s">
        <v>429</v>
      </c>
      <c r="B361" s="34">
        <v>41989.0</v>
      </c>
      <c r="C361" s="31" t="s">
        <v>38</v>
      </c>
      <c r="D361" s="31" t="s">
        <v>75</v>
      </c>
      <c r="E361" s="31" t="s">
        <v>59</v>
      </c>
      <c r="F361" s="33">
        <v>1013.832</v>
      </c>
      <c r="G361" s="33">
        <v>9.0</v>
      </c>
      <c r="H361" s="33">
        <v>101.3832</v>
      </c>
    </row>
    <row r="362">
      <c r="A362" s="31" t="s">
        <v>430</v>
      </c>
      <c r="B362" s="32">
        <v>41857.0</v>
      </c>
      <c r="C362" s="31" t="s">
        <v>11</v>
      </c>
      <c r="D362" s="31" t="s">
        <v>205</v>
      </c>
      <c r="E362" s="31" t="s">
        <v>59</v>
      </c>
      <c r="F362" s="33">
        <v>62.91</v>
      </c>
      <c r="G362" s="33">
        <v>3.0</v>
      </c>
      <c r="H362" s="33">
        <v>22.6476</v>
      </c>
    </row>
    <row r="363">
      <c r="A363" s="31" t="s">
        <v>431</v>
      </c>
      <c r="B363" s="32">
        <v>41740.0</v>
      </c>
      <c r="C363" s="31" t="s">
        <v>11</v>
      </c>
      <c r="D363" s="31" t="s">
        <v>75</v>
      </c>
      <c r="E363" s="31" t="s">
        <v>59</v>
      </c>
      <c r="F363" s="33">
        <v>6.912</v>
      </c>
      <c r="G363" s="33">
        <v>3.0</v>
      </c>
      <c r="H363" s="33">
        <v>2.3328</v>
      </c>
    </row>
    <row r="364">
      <c r="A364" s="31" t="s">
        <v>432</v>
      </c>
      <c r="B364" s="34">
        <v>41959.0</v>
      </c>
      <c r="C364" s="31" t="s">
        <v>47</v>
      </c>
      <c r="D364" s="31" t="s">
        <v>433</v>
      </c>
      <c r="E364" s="31" t="s">
        <v>31</v>
      </c>
      <c r="F364" s="33">
        <v>273.96</v>
      </c>
      <c r="G364" s="33">
        <v>2.0</v>
      </c>
      <c r="H364" s="33">
        <v>10.9584</v>
      </c>
    </row>
    <row r="365">
      <c r="A365" s="31" t="s">
        <v>434</v>
      </c>
      <c r="B365" s="32">
        <v>41825.0</v>
      </c>
      <c r="C365" s="31" t="s">
        <v>47</v>
      </c>
      <c r="D365" s="31" t="s">
        <v>27</v>
      </c>
      <c r="E365" s="31" t="s">
        <v>28</v>
      </c>
      <c r="F365" s="33">
        <v>180.96</v>
      </c>
      <c r="G365" s="33">
        <v>6.0</v>
      </c>
      <c r="H365" s="33">
        <v>67.86</v>
      </c>
    </row>
    <row r="366">
      <c r="A366" s="31" t="s">
        <v>435</v>
      </c>
      <c r="B366" s="32">
        <v>41666.0</v>
      </c>
      <c r="C366" s="31" t="s">
        <v>11</v>
      </c>
      <c r="D366" s="31" t="s">
        <v>27</v>
      </c>
      <c r="E366" s="31" t="s">
        <v>28</v>
      </c>
      <c r="F366" s="33">
        <v>57.23</v>
      </c>
      <c r="G366" s="33">
        <v>1.0</v>
      </c>
      <c r="H366" s="33">
        <v>14.3075</v>
      </c>
    </row>
    <row r="367">
      <c r="A367" s="31" t="s">
        <v>436</v>
      </c>
      <c r="B367" s="32">
        <v>41919.0</v>
      </c>
      <c r="C367" s="31" t="s">
        <v>38</v>
      </c>
      <c r="D367" s="31" t="s">
        <v>41</v>
      </c>
      <c r="E367" s="31" t="s">
        <v>31</v>
      </c>
      <c r="F367" s="33">
        <v>107.44</v>
      </c>
      <c r="G367" s="33">
        <v>10.0</v>
      </c>
      <c r="H367" s="33">
        <v>10.744</v>
      </c>
    </row>
    <row r="368">
      <c r="A368" s="31" t="s">
        <v>437</v>
      </c>
      <c r="B368" s="34">
        <v>41967.0</v>
      </c>
      <c r="C368" s="31" t="s">
        <v>38</v>
      </c>
      <c r="D368" s="31" t="s">
        <v>44</v>
      </c>
      <c r="E368" s="31" t="s">
        <v>45</v>
      </c>
      <c r="F368" s="33">
        <v>1049.97</v>
      </c>
      <c r="G368" s="33">
        <v>5.0</v>
      </c>
      <c r="H368" s="33">
        <v>-209.994</v>
      </c>
    </row>
    <row r="369">
      <c r="A369" s="31" t="s">
        <v>438</v>
      </c>
      <c r="B369" s="32">
        <v>41737.0</v>
      </c>
      <c r="C369" s="31" t="s">
        <v>38</v>
      </c>
      <c r="D369" s="31" t="s">
        <v>39</v>
      </c>
      <c r="E369" s="31" t="s">
        <v>28</v>
      </c>
      <c r="F369" s="33">
        <v>2.368</v>
      </c>
      <c r="G369" s="33">
        <v>2.0</v>
      </c>
      <c r="H369" s="33">
        <v>0.8288</v>
      </c>
    </row>
    <row r="370">
      <c r="A370" s="31" t="s">
        <v>439</v>
      </c>
      <c r="B370" s="32">
        <v>41846.0</v>
      </c>
      <c r="C370" s="31" t="s">
        <v>11</v>
      </c>
      <c r="D370" s="31" t="s">
        <v>440</v>
      </c>
      <c r="E370" s="31" t="s">
        <v>28</v>
      </c>
      <c r="F370" s="33">
        <v>911.984</v>
      </c>
      <c r="G370" s="33">
        <v>2.0</v>
      </c>
      <c r="H370" s="33">
        <v>113.998</v>
      </c>
    </row>
    <row r="371">
      <c r="A371" s="31" t="s">
        <v>441</v>
      </c>
      <c r="B371" s="32">
        <v>41798.0</v>
      </c>
      <c r="C371" s="31" t="s">
        <v>38</v>
      </c>
      <c r="D371" s="31" t="s">
        <v>254</v>
      </c>
      <c r="E371" s="31" t="s">
        <v>59</v>
      </c>
      <c r="F371" s="33">
        <v>170.352</v>
      </c>
      <c r="G371" s="33">
        <v>3.0</v>
      </c>
      <c r="H371" s="33">
        <v>10.647</v>
      </c>
    </row>
    <row r="372">
      <c r="A372" s="31" t="s">
        <v>442</v>
      </c>
      <c r="B372" s="34">
        <v>41940.0</v>
      </c>
      <c r="C372" s="31" t="s">
        <v>38</v>
      </c>
      <c r="D372" s="31" t="s">
        <v>27</v>
      </c>
      <c r="E372" s="31" t="s">
        <v>28</v>
      </c>
      <c r="F372" s="33">
        <v>7.184</v>
      </c>
      <c r="G372" s="33">
        <v>2.0</v>
      </c>
      <c r="H372" s="33">
        <v>2.245</v>
      </c>
    </row>
    <row r="373">
      <c r="A373" s="31" t="s">
        <v>443</v>
      </c>
      <c r="B373" s="34">
        <v>41993.0</v>
      </c>
      <c r="C373" s="31" t="s">
        <v>11</v>
      </c>
      <c r="D373" s="31" t="s">
        <v>63</v>
      </c>
      <c r="E373" s="31" t="s">
        <v>28</v>
      </c>
      <c r="F373" s="33">
        <v>447.944</v>
      </c>
      <c r="G373" s="33">
        <v>7.0</v>
      </c>
      <c r="H373" s="33">
        <v>89.5888</v>
      </c>
    </row>
    <row r="374">
      <c r="A374" s="31" t="s">
        <v>444</v>
      </c>
      <c r="B374" s="32">
        <v>41762.0</v>
      </c>
      <c r="C374" s="31" t="s">
        <v>11</v>
      </c>
      <c r="D374" s="31" t="s">
        <v>79</v>
      </c>
      <c r="E374" s="31" t="s">
        <v>45</v>
      </c>
      <c r="F374" s="33">
        <v>40.176</v>
      </c>
      <c r="G374" s="33">
        <v>3.0</v>
      </c>
      <c r="H374" s="33">
        <v>14.5638</v>
      </c>
    </row>
    <row r="375">
      <c r="A375" s="31" t="s">
        <v>445</v>
      </c>
      <c r="B375" s="32">
        <v>41847.0</v>
      </c>
      <c r="C375" s="31" t="s">
        <v>11</v>
      </c>
      <c r="D375" s="31" t="s">
        <v>27</v>
      </c>
      <c r="E375" s="31" t="s">
        <v>28</v>
      </c>
      <c r="F375" s="33">
        <v>238.0</v>
      </c>
      <c r="G375" s="33">
        <v>2.0</v>
      </c>
      <c r="H375" s="33">
        <v>38.08</v>
      </c>
    </row>
    <row r="376">
      <c r="A376" s="31" t="s">
        <v>446</v>
      </c>
      <c r="B376" s="32">
        <v>41734.0</v>
      </c>
      <c r="C376" s="31" t="s">
        <v>38</v>
      </c>
      <c r="D376" s="31" t="s">
        <v>49</v>
      </c>
      <c r="E376" s="31" t="s">
        <v>31</v>
      </c>
      <c r="F376" s="33">
        <v>49.632</v>
      </c>
      <c r="G376" s="33">
        <v>4.0</v>
      </c>
      <c r="H376" s="33">
        <v>3.7224</v>
      </c>
    </row>
    <row r="377">
      <c r="A377" s="31" t="s">
        <v>447</v>
      </c>
      <c r="B377" s="32">
        <v>41825.0</v>
      </c>
      <c r="C377" s="31" t="s">
        <v>38</v>
      </c>
      <c r="D377" s="31" t="s">
        <v>254</v>
      </c>
      <c r="E377" s="31" t="s">
        <v>59</v>
      </c>
      <c r="F377" s="33">
        <v>4.368</v>
      </c>
      <c r="G377" s="33">
        <v>3.0</v>
      </c>
      <c r="H377" s="33">
        <v>0.3822</v>
      </c>
    </row>
    <row r="378">
      <c r="A378" s="31" t="s">
        <v>448</v>
      </c>
      <c r="B378" s="32">
        <v>41792.0</v>
      </c>
      <c r="C378" s="31" t="s">
        <v>11</v>
      </c>
      <c r="D378" s="31" t="s">
        <v>173</v>
      </c>
      <c r="E378" s="31" t="s">
        <v>59</v>
      </c>
      <c r="F378" s="33">
        <v>8.56</v>
      </c>
      <c r="G378" s="33">
        <v>2.0</v>
      </c>
      <c r="H378" s="33">
        <v>2.6536</v>
      </c>
    </row>
    <row r="379">
      <c r="A379" s="31" t="s">
        <v>449</v>
      </c>
      <c r="B379" s="34">
        <v>41965.0</v>
      </c>
      <c r="C379" s="31" t="s">
        <v>47</v>
      </c>
      <c r="D379" s="31" t="s">
        <v>49</v>
      </c>
      <c r="E379" s="31" t="s">
        <v>31</v>
      </c>
      <c r="F379" s="33">
        <v>9.98</v>
      </c>
      <c r="G379" s="33">
        <v>5.0</v>
      </c>
      <c r="H379" s="33">
        <v>-16.467</v>
      </c>
    </row>
    <row r="380">
      <c r="A380" s="31" t="s">
        <v>450</v>
      </c>
      <c r="B380" s="32">
        <v>41899.0</v>
      </c>
      <c r="C380" s="31" t="s">
        <v>11</v>
      </c>
      <c r="D380" s="31" t="s">
        <v>52</v>
      </c>
      <c r="E380" s="31" t="s">
        <v>28</v>
      </c>
      <c r="F380" s="33">
        <v>30.28</v>
      </c>
      <c r="G380" s="33">
        <v>2.0</v>
      </c>
      <c r="H380" s="33">
        <v>1.2112</v>
      </c>
    </row>
    <row r="381">
      <c r="A381" s="31" t="s">
        <v>451</v>
      </c>
      <c r="B381" s="34">
        <v>41971.0</v>
      </c>
      <c r="C381" s="31" t="s">
        <v>11</v>
      </c>
      <c r="D381" s="31" t="s">
        <v>79</v>
      </c>
      <c r="E381" s="31" t="s">
        <v>45</v>
      </c>
      <c r="F381" s="33">
        <v>17.248</v>
      </c>
      <c r="G381" s="33">
        <v>2.0</v>
      </c>
      <c r="H381" s="33">
        <v>6.0368</v>
      </c>
    </row>
    <row r="382">
      <c r="A382" s="31" t="s">
        <v>452</v>
      </c>
      <c r="B382" s="32">
        <v>41733.0</v>
      </c>
      <c r="C382" s="31" t="s">
        <v>11</v>
      </c>
      <c r="D382" s="31" t="s">
        <v>36</v>
      </c>
      <c r="E382" s="31" t="s">
        <v>31</v>
      </c>
      <c r="F382" s="33">
        <v>5.47</v>
      </c>
      <c r="G382" s="33">
        <v>1.0</v>
      </c>
      <c r="H382" s="33">
        <v>2.3521</v>
      </c>
    </row>
    <row r="383">
      <c r="A383" s="31" t="s">
        <v>453</v>
      </c>
      <c r="B383" s="34">
        <v>41955.0</v>
      </c>
      <c r="C383" s="31" t="s">
        <v>38</v>
      </c>
      <c r="D383" s="31" t="s">
        <v>65</v>
      </c>
      <c r="E383" s="31" t="s">
        <v>59</v>
      </c>
      <c r="F383" s="33">
        <v>7.872</v>
      </c>
      <c r="G383" s="33">
        <v>3.0</v>
      </c>
      <c r="H383" s="33">
        <v>0.8856</v>
      </c>
    </row>
    <row r="384">
      <c r="A384" s="31" t="s">
        <v>454</v>
      </c>
      <c r="B384" s="34">
        <v>41965.0</v>
      </c>
      <c r="C384" s="31" t="s">
        <v>11</v>
      </c>
      <c r="D384" s="31" t="s">
        <v>27</v>
      </c>
      <c r="E384" s="31" t="s">
        <v>28</v>
      </c>
      <c r="F384" s="33">
        <v>53.82</v>
      </c>
      <c r="G384" s="33">
        <v>9.0</v>
      </c>
      <c r="H384" s="33">
        <v>24.219</v>
      </c>
    </row>
    <row r="385">
      <c r="A385" s="31" t="s">
        <v>455</v>
      </c>
      <c r="B385" s="34">
        <v>41996.0</v>
      </c>
      <c r="C385" s="31" t="s">
        <v>38</v>
      </c>
      <c r="D385" s="31" t="s">
        <v>79</v>
      </c>
      <c r="E385" s="31" t="s">
        <v>45</v>
      </c>
      <c r="F385" s="33">
        <v>53.316</v>
      </c>
      <c r="G385" s="33">
        <v>2.0</v>
      </c>
      <c r="H385" s="33">
        <v>-19.5492</v>
      </c>
    </row>
    <row r="386">
      <c r="A386" s="31" t="s">
        <v>456</v>
      </c>
      <c r="B386" s="34">
        <v>41968.0</v>
      </c>
      <c r="C386" s="31" t="s">
        <v>11</v>
      </c>
      <c r="D386" s="31" t="s">
        <v>457</v>
      </c>
      <c r="E386" s="31" t="s">
        <v>45</v>
      </c>
      <c r="F386" s="33">
        <v>52.96</v>
      </c>
      <c r="G386" s="33">
        <v>2.0</v>
      </c>
      <c r="H386" s="33">
        <v>20.1248</v>
      </c>
    </row>
    <row r="387">
      <c r="A387" s="31" t="s">
        <v>458</v>
      </c>
      <c r="B387" s="32">
        <v>41946.0</v>
      </c>
      <c r="C387" s="31" t="s">
        <v>11</v>
      </c>
      <c r="D387" s="31" t="s">
        <v>77</v>
      </c>
      <c r="E387" s="31" t="s">
        <v>45</v>
      </c>
      <c r="F387" s="33">
        <v>286.344</v>
      </c>
      <c r="G387" s="33">
        <v>3.0</v>
      </c>
      <c r="H387" s="33">
        <v>-64.4274</v>
      </c>
    </row>
    <row r="388">
      <c r="A388" s="31" t="s">
        <v>459</v>
      </c>
      <c r="B388" s="34">
        <v>41923.0</v>
      </c>
      <c r="C388" s="31" t="s">
        <v>47</v>
      </c>
      <c r="D388" s="31" t="s">
        <v>52</v>
      </c>
      <c r="E388" s="31" t="s">
        <v>28</v>
      </c>
      <c r="F388" s="33">
        <v>63.47</v>
      </c>
      <c r="G388" s="33">
        <v>11.0</v>
      </c>
      <c r="H388" s="33">
        <v>19.041</v>
      </c>
    </row>
    <row r="389">
      <c r="A389" s="31" t="s">
        <v>460</v>
      </c>
      <c r="B389" s="32">
        <v>41812.0</v>
      </c>
      <c r="C389" s="31" t="s">
        <v>11</v>
      </c>
      <c r="D389" s="31" t="s">
        <v>77</v>
      </c>
      <c r="E389" s="31" t="s">
        <v>45</v>
      </c>
      <c r="F389" s="33">
        <v>170.058</v>
      </c>
      <c r="G389" s="33">
        <v>3.0</v>
      </c>
      <c r="H389" s="33">
        <v>-4.8588</v>
      </c>
    </row>
    <row r="390">
      <c r="A390" s="31" t="s">
        <v>461</v>
      </c>
      <c r="B390" s="34">
        <v>42002.0</v>
      </c>
      <c r="C390" s="31" t="s">
        <v>38</v>
      </c>
      <c r="D390" s="31" t="s">
        <v>27</v>
      </c>
      <c r="E390" s="31" t="s">
        <v>28</v>
      </c>
      <c r="F390" s="33">
        <v>24.9</v>
      </c>
      <c r="G390" s="33">
        <v>5.0</v>
      </c>
      <c r="H390" s="33">
        <v>8.217</v>
      </c>
    </row>
    <row r="391">
      <c r="A391" s="31" t="s">
        <v>462</v>
      </c>
      <c r="B391" s="32">
        <v>41911.0</v>
      </c>
      <c r="C391" s="31" t="s">
        <v>38</v>
      </c>
      <c r="D391" s="31" t="s">
        <v>77</v>
      </c>
      <c r="E391" s="31" t="s">
        <v>45</v>
      </c>
      <c r="F391" s="33">
        <v>4.224</v>
      </c>
      <c r="G391" s="33">
        <v>3.0</v>
      </c>
      <c r="H391" s="33">
        <v>1.4784</v>
      </c>
    </row>
    <row r="392">
      <c r="A392" s="31" t="s">
        <v>463</v>
      </c>
      <c r="B392" s="34">
        <v>41967.0</v>
      </c>
      <c r="C392" s="31" t="s">
        <v>11</v>
      </c>
      <c r="D392" s="31" t="s">
        <v>49</v>
      </c>
      <c r="E392" s="31" t="s">
        <v>31</v>
      </c>
      <c r="F392" s="33">
        <v>646.2</v>
      </c>
      <c r="G392" s="33">
        <v>5.0</v>
      </c>
      <c r="H392" s="33">
        <v>-8.0775</v>
      </c>
    </row>
    <row r="393">
      <c r="A393" s="31" t="s">
        <v>464</v>
      </c>
      <c r="B393" s="32">
        <v>41813.0</v>
      </c>
      <c r="C393" s="31" t="s">
        <v>11</v>
      </c>
      <c r="D393" s="31" t="s">
        <v>65</v>
      </c>
      <c r="E393" s="31" t="s">
        <v>59</v>
      </c>
      <c r="F393" s="33">
        <v>20.016</v>
      </c>
      <c r="G393" s="33">
        <v>9.0</v>
      </c>
      <c r="H393" s="33">
        <v>1.7514</v>
      </c>
    </row>
    <row r="394">
      <c r="A394" s="31" t="s">
        <v>465</v>
      </c>
      <c r="B394" s="32">
        <v>41944.0</v>
      </c>
      <c r="C394" s="31" t="s">
        <v>38</v>
      </c>
      <c r="D394" s="31" t="s">
        <v>65</v>
      </c>
      <c r="E394" s="31" t="s">
        <v>59</v>
      </c>
      <c r="F394" s="33">
        <v>7.52</v>
      </c>
      <c r="G394" s="33">
        <v>5.0</v>
      </c>
      <c r="H394" s="33">
        <v>1.41</v>
      </c>
    </row>
    <row r="395">
      <c r="A395" s="31" t="s">
        <v>466</v>
      </c>
      <c r="B395" s="32">
        <v>41870.0</v>
      </c>
      <c r="C395" s="31" t="s">
        <v>11</v>
      </c>
      <c r="D395" s="31" t="s">
        <v>157</v>
      </c>
      <c r="E395" s="31" t="s">
        <v>59</v>
      </c>
      <c r="F395" s="33">
        <v>638.82</v>
      </c>
      <c r="G395" s="33">
        <v>9.0</v>
      </c>
      <c r="H395" s="33">
        <v>172.4814</v>
      </c>
    </row>
    <row r="396">
      <c r="A396" s="31" t="s">
        <v>467</v>
      </c>
      <c r="B396" s="32">
        <v>41905.0</v>
      </c>
      <c r="C396" s="31" t="s">
        <v>11</v>
      </c>
      <c r="D396" s="31" t="s">
        <v>67</v>
      </c>
      <c r="E396" s="31" t="s">
        <v>31</v>
      </c>
      <c r="F396" s="33">
        <v>32.4</v>
      </c>
      <c r="G396" s="33">
        <v>5.0</v>
      </c>
      <c r="H396" s="33">
        <v>15.552</v>
      </c>
    </row>
    <row r="397">
      <c r="A397" s="31" t="s">
        <v>468</v>
      </c>
      <c r="B397" s="32">
        <v>41770.0</v>
      </c>
      <c r="C397" s="31" t="s">
        <v>38</v>
      </c>
      <c r="D397" s="31" t="s">
        <v>79</v>
      </c>
      <c r="E397" s="31" t="s">
        <v>45</v>
      </c>
      <c r="F397" s="33">
        <v>35.91</v>
      </c>
      <c r="G397" s="33">
        <v>3.0</v>
      </c>
      <c r="H397" s="33">
        <v>9.6957</v>
      </c>
    </row>
    <row r="398">
      <c r="A398" s="31" t="s">
        <v>469</v>
      </c>
      <c r="B398" s="32">
        <v>41901.0</v>
      </c>
      <c r="C398" s="31" t="s">
        <v>11</v>
      </c>
      <c r="D398" s="31" t="s">
        <v>65</v>
      </c>
      <c r="E398" s="31" t="s">
        <v>59</v>
      </c>
      <c r="F398" s="33">
        <v>67.344</v>
      </c>
      <c r="G398" s="33">
        <v>6.0</v>
      </c>
      <c r="H398" s="33">
        <v>7.5762</v>
      </c>
    </row>
    <row r="399">
      <c r="A399" s="31" t="s">
        <v>470</v>
      </c>
      <c r="B399" s="34">
        <v>41961.0</v>
      </c>
      <c r="C399" s="31" t="s">
        <v>38</v>
      </c>
      <c r="D399" s="31" t="s">
        <v>49</v>
      </c>
      <c r="E399" s="31" t="s">
        <v>31</v>
      </c>
      <c r="F399" s="33">
        <v>14.48</v>
      </c>
      <c r="G399" s="33">
        <v>5.0</v>
      </c>
      <c r="H399" s="33">
        <v>-23.892</v>
      </c>
    </row>
    <row r="400">
      <c r="A400" s="31" t="s">
        <v>471</v>
      </c>
      <c r="B400" s="32">
        <v>41890.0</v>
      </c>
      <c r="C400" s="31" t="s">
        <v>11</v>
      </c>
      <c r="D400" s="31" t="s">
        <v>113</v>
      </c>
      <c r="E400" s="31" t="s">
        <v>59</v>
      </c>
      <c r="F400" s="33">
        <v>45.0</v>
      </c>
      <c r="G400" s="33">
        <v>9.0</v>
      </c>
      <c r="H400" s="33">
        <v>21.6</v>
      </c>
    </row>
    <row r="401">
      <c r="A401" s="31" t="s">
        <v>472</v>
      </c>
      <c r="B401" s="32">
        <v>41778.0</v>
      </c>
      <c r="C401" s="31" t="s">
        <v>11</v>
      </c>
      <c r="D401" s="31" t="s">
        <v>36</v>
      </c>
      <c r="E401" s="31" t="s">
        <v>31</v>
      </c>
      <c r="F401" s="33">
        <v>57.42</v>
      </c>
      <c r="G401" s="33">
        <v>9.0</v>
      </c>
      <c r="H401" s="33">
        <v>26.4132</v>
      </c>
    </row>
    <row r="402">
      <c r="A402" s="31" t="s">
        <v>473</v>
      </c>
      <c r="B402" s="32">
        <v>41944.0</v>
      </c>
      <c r="C402" s="31" t="s">
        <v>38</v>
      </c>
      <c r="D402" s="31" t="s">
        <v>49</v>
      </c>
      <c r="E402" s="31" t="s">
        <v>31</v>
      </c>
      <c r="F402" s="33">
        <v>15.696</v>
      </c>
      <c r="G402" s="33">
        <v>3.0</v>
      </c>
      <c r="H402" s="33">
        <v>5.1012</v>
      </c>
    </row>
    <row r="403">
      <c r="A403" s="31" t="s">
        <v>474</v>
      </c>
      <c r="B403" s="34">
        <v>41923.0</v>
      </c>
      <c r="C403" s="31" t="s">
        <v>11</v>
      </c>
      <c r="D403" s="31" t="s">
        <v>27</v>
      </c>
      <c r="E403" s="31" t="s">
        <v>28</v>
      </c>
      <c r="F403" s="33">
        <v>31.92</v>
      </c>
      <c r="G403" s="33">
        <v>4.0</v>
      </c>
      <c r="H403" s="33">
        <v>8.2992</v>
      </c>
    </row>
    <row r="404">
      <c r="A404" s="31" t="s">
        <v>475</v>
      </c>
      <c r="B404" s="32">
        <v>41736.0</v>
      </c>
      <c r="C404" s="31" t="s">
        <v>38</v>
      </c>
      <c r="D404" s="31" t="s">
        <v>205</v>
      </c>
      <c r="E404" s="31" t="s">
        <v>59</v>
      </c>
      <c r="F404" s="33">
        <v>629.95</v>
      </c>
      <c r="G404" s="33">
        <v>5.0</v>
      </c>
      <c r="H404" s="33">
        <v>163.787</v>
      </c>
    </row>
    <row r="405">
      <c r="A405" s="31" t="s">
        <v>476</v>
      </c>
      <c r="B405" s="34">
        <v>41943.0</v>
      </c>
      <c r="C405" s="31" t="s">
        <v>11</v>
      </c>
      <c r="D405" s="31" t="s">
        <v>457</v>
      </c>
      <c r="E405" s="31" t="s">
        <v>45</v>
      </c>
      <c r="F405" s="33">
        <v>49.25</v>
      </c>
      <c r="G405" s="33">
        <v>5.0</v>
      </c>
      <c r="H405" s="33">
        <v>18.715</v>
      </c>
    </row>
    <row r="406">
      <c r="A406" s="31" t="s">
        <v>477</v>
      </c>
      <c r="B406" s="32">
        <v>41764.0</v>
      </c>
      <c r="C406" s="31" t="s">
        <v>11</v>
      </c>
      <c r="D406" s="31" t="s">
        <v>401</v>
      </c>
      <c r="E406" s="31" t="s">
        <v>59</v>
      </c>
      <c r="F406" s="33">
        <v>9.42</v>
      </c>
      <c r="G406" s="33">
        <v>3.0</v>
      </c>
      <c r="H406" s="33">
        <v>4.239</v>
      </c>
    </row>
    <row r="407">
      <c r="A407" s="31" t="s">
        <v>478</v>
      </c>
      <c r="B407" s="34">
        <v>41973.0</v>
      </c>
      <c r="C407" s="31" t="s">
        <v>11</v>
      </c>
      <c r="D407" s="31" t="s">
        <v>79</v>
      </c>
      <c r="E407" s="31" t="s">
        <v>45</v>
      </c>
      <c r="F407" s="33">
        <v>62.28</v>
      </c>
      <c r="G407" s="33">
        <v>4.0</v>
      </c>
      <c r="H407" s="33">
        <v>29.2716</v>
      </c>
    </row>
    <row r="408">
      <c r="A408" s="31" t="s">
        <v>479</v>
      </c>
      <c r="B408" s="34">
        <v>41986.0</v>
      </c>
      <c r="C408" s="31" t="s">
        <v>38</v>
      </c>
      <c r="D408" s="31" t="s">
        <v>49</v>
      </c>
      <c r="E408" s="31" t="s">
        <v>31</v>
      </c>
      <c r="F408" s="33">
        <v>94.428</v>
      </c>
      <c r="G408" s="33">
        <v>3.0</v>
      </c>
      <c r="H408" s="33">
        <v>-42.4926</v>
      </c>
    </row>
    <row r="409">
      <c r="A409" s="31" t="s">
        <v>480</v>
      </c>
      <c r="B409" s="32">
        <v>41903.0</v>
      </c>
      <c r="C409" s="31" t="s">
        <v>47</v>
      </c>
      <c r="D409" s="31" t="s">
        <v>77</v>
      </c>
      <c r="E409" s="31" t="s">
        <v>45</v>
      </c>
      <c r="F409" s="33">
        <v>11.352</v>
      </c>
      <c r="G409" s="33">
        <v>3.0</v>
      </c>
      <c r="H409" s="33">
        <v>4.1151</v>
      </c>
    </row>
    <row r="410">
      <c r="A410" s="31" t="s">
        <v>481</v>
      </c>
      <c r="B410" s="32">
        <v>41902.0</v>
      </c>
      <c r="C410" s="31" t="s">
        <v>47</v>
      </c>
      <c r="D410" s="31" t="s">
        <v>27</v>
      </c>
      <c r="E410" s="31" t="s">
        <v>28</v>
      </c>
      <c r="F410" s="33">
        <v>43.92</v>
      </c>
      <c r="G410" s="33">
        <v>4.0</v>
      </c>
      <c r="H410" s="33">
        <v>11.8584</v>
      </c>
    </row>
    <row r="411">
      <c r="A411" s="31" t="s">
        <v>482</v>
      </c>
      <c r="B411" s="32">
        <v>41724.0</v>
      </c>
      <c r="C411" s="31" t="s">
        <v>38</v>
      </c>
      <c r="D411" s="31" t="s">
        <v>27</v>
      </c>
      <c r="E411" s="31" t="s">
        <v>28</v>
      </c>
      <c r="F411" s="33">
        <v>66.3</v>
      </c>
      <c r="G411" s="33">
        <v>3.0</v>
      </c>
      <c r="H411" s="33">
        <v>8.619</v>
      </c>
    </row>
    <row r="412">
      <c r="A412" s="31" t="s">
        <v>483</v>
      </c>
      <c r="B412" s="32">
        <v>41901.0</v>
      </c>
      <c r="C412" s="31" t="s">
        <v>38</v>
      </c>
      <c r="D412" s="31" t="s">
        <v>79</v>
      </c>
      <c r="E412" s="31" t="s">
        <v>45</v>
      </c>
      <c r="F412" s="33">
        <v>887.103</v>
      </c>
      <c r="G412" s="33">
        <v>7.0</v>
      </c>
      <c r="H412" s="33">
        <v>177.4206</v>
      </c>
    </row>
    <row r="413">
      <c r="A413" s="31" t="s">
        <v>484</v>
      </c>
      <c r="B413" s="34">
        <v>41957.0</v>
      </c>
      <c r="C413" s="31" t="s">
        <v>47</v>
      </c>
      <c r="D413" s="31" t="s">
        <v>79</v>
      </c>
      <c r="E413" s="31" t="s">
        <v>45</v>
      </c>
      <c r="F413" s="33">
        <v>11.36</v>
      </c>
      <c r="G413" s="33">
        <v>2.0</v>
      </c>
      <c r="H413" s="33">
        <v>5.2256</v>
      </c>
    </row>
    <row r="414">
      <c r="A414" s="31" t="s">
        <v>485</v>
      </c>
      <c r="B414" s="34">
        <v>41993.0</v>
      </c>
      <c r="C414" s="31" t="s">
        <v>11</v>
      </c>
      <c r="D414" s="31" t="s">
        <v>297</v>
      </c>
      <c r="E414" s="31" t="s">
        <v>31</v>
      </c>
      <c r="F414" s="33">
        <v>3.69</v>
      </c>
      <c r="G414" s="33">
        <v>1.0</v>
      </c>
      <c r="H414" s="33">
        <v>1.7343</v>
      </c>
    </row>
    <row r="415">
      <c r="A415" s="31" t="s">
        <v>486</v>
      </c>
      <c r="B415" s="32">
        <v>41873.0</v>
      </c>
      <c r="C415" s="31" t="s">
        <v>47</v>
      </c>
      <c r="D415" s="31" t="s">
        <v>44</v>
      </c>
      <c r="E415" s="31" t="s">
        <v>45</v>
      </c>
      <c r="F415" s="33">
        <v>3.912</v>
      </c>
      <c r="G415" s="33">
        <v>1.0</v>
      </c>
      <c r="H415" s="33">
        <v>1.0269</v>
      </c>
    </row>
    <row r="416">
      <c r="A416" s="31" t="s">
        <v>487</v>
      </c>
      <c r="B416" s="34">
        <v>41938.0</v>
      </c>
      <c r="C416" s="31" t="s">
        <v>11</v>
      </c>
      <c r="D416" s="31" t="s">
        <v>52</v>
      </c>
      <c r="E416" s="31" t="s">
        <v>28</v>
      </c>
      <c r="F416" s="33">
        <v>63.92</v>
      </c>
      <c r="G416" s="33">
        <v>4.0</v>
      </c>
      <c r="H416" s="33">
        <v>3.196</v>
      </c>
    </row>
    <row r="417">
      <c r="A417" s="31" t="s">
        <v>488</v>
      </c>
      <c r="B417" s="32">
        <v>41947.0</v>
      </c>
      <c r="C417" s="31" t="s">
        <v>11</v>
      </c>
      <c r="D417" s="31" t="s">
        <v>27</v>
      </c>
      <c r="E417" s="31" t="s">
        <v>28</v>
      </c>
      <c r="F417" s="33">
        <v>666.344</v>
      </c>
      <c r="G417" s="33">
        <v>7.0</v>
      </c>
      <c r="H417" s="33">
        <v>66.6344</v>
      </c>
    </row>
    <row r="418">
      <c r="A418" s="31" t="s">
        <v>489</v>
      </c>
      <c r="B418" s="32">
        <v>41890.0</v>
      </c>
      <c r="C418" s="31" t="s">
        <v>38</v>
      </c>
      <c r="D418" s="31" t="s">
        <v>79</v>
      </c>
      <c r="E418" s="31" t="s">
        <v>45</v>
      </c>
      <c r="F418" s="33">
        <v>16.78</v>
      </c>
      <c r="G418" s="33">
        <v>2.0</v>
      </c>
      <c r="H418" s="33">
        <v>4.195</v>
      </c>
    </row>
    <row r="419">
      <c r="A419" s="31" t="s">
        <v>490</v>
      </c>
      <c r="B419" s="34">
        <v>42002.0</v>
      </c>
      <c r="C419" s="31" t="s">
        <v>11</v>
      </c>
      <c r="D419" s="31" t="s">
        <v>407</v>
      </c>
      <c r="E419" s="31" t="s">
        <v>28</v>
      </c>
      <c r="F419" s="33">
        <v>23.976</v>
      </c>
      <c r="G419" s="33">
        <v>3.0</v>
      </c>
      <c r="H419" s="33">
        <v>-5.6943</v>
      </c>
    </row>
    <row r="420">
      <c r="A420" s="31" t="s">
        <v>491</v>
      </c>
      <c r="B420" s="32">
        <v>41720.0</v>
      </c>
      <c r="C420" s="31" t="s">
        <v>11</v>
      </c>
      <c r="D420" s="31" t="s">
        <v>297</v>
      </c>
      <c r="E420" s="31" t="s">
        <v>31</v>
      </c>
      <c r="F420" s="33">
        <v>16.28</v>
      </c>
      <c r="G420" s="33">
        <v>2.0</v>
      </c>
      <c r="H420" s="33">
        <v>6.512</v>
      </c>
    </row>
    <row r="421">
      <c r="A421" s="31" t="s">
        <v>492</v>
      </c>
      <c r="B421" s="32">
        <v>41754.0</v>
      </c>
      <c r="C421" s="31" t="s">
        <v>47</v>
      </c>
      <c r="D421" s="31" t="s">
        <v>27</v>
      </c>
      <c r="E421" s="31" t="s">
        <v>28</v>
      </c>
      <c r="F421" s="33">
        <v>303.25</v>
      </c>
      <c r="G421" s="33">
        <v>5.0</v>
      </c>
      <c r="H421" s="33">
        <v>63.6825</v>
      </c>
    </row>
    <row r="422">
      <c r="A422" s="31" t="s">
        <v>493</v>
      </c>
      <c r="B422" s="32">
        <v>41840.0</v>
      </c>
      <c r="C422" s="31" t="s">
        <v>11</v>
      </c>
      <c r="D422" s="31" t="s">
        <v>44</v>
      </c>
      <c r="E422" s="31" t="s">
        <v>45</v>
      </c>
      <c r="F422" s="33">
        <v>25.984</v>
      </c>
      <c r="G422" s="33">
        <v>1.0</v>
      </c>
      <c r="H422" s="33">
        <v>-5.1968</v>
      </c>
    </row>
    <row r="423">
      <c r="A423" s="31" t="s">
        <v>494</v>
      </c>
      <c r="B423" s="32">
        <v>41827.0</v>
      </c>
      <c r="C423" s="31" t="s">
        <v>11</v>
      </c>
      <c r="D423" s="31" t="s">
        <v>77</v>
      </c>
      <c r="E423" s="31" t="s">
        <v>45</v>
      </c>
      <c r="F423" s="33">
        <v>172.186</v>
      </c>
      <c r="G423" s="33">
        <v>2.0</v>
      </c>
      <c r="H423" s="33">
        <v>-46.7362</v>
      </c>
    </row>
    <row r="424">
      <c r="A424" s="31" t="s">
        <v>495</v>
      </c>
      <c r="B424" s="32">
        <v>41884.0</v>
      </c>
      <c r="C424" s="31" t="s">
        <v>11</v>
      </c>
      <c r="D424" s="31" t="s">
        <v>79</v>
      </c>
      <c r="E424" s="31" t="s">
        <v>45</v>
      </c>
      <c r="F424" s="33">
        <v>21.24</v>
      </c>
      <c r="G424" s="33">
        <v>3.0</v>
      </c>
      <c r="H424" s="33">
        <v>8.0712</v>
      </c>
    </row>
    <row r="425">
      <c r="A425" s="31" t="s">
        <v>496</v>
      </c>
      <c r="B425" s="32">
        <v>41765.0</v>
      </c>
      <c r="C425" s="31" t="s">
        <v>47</v>
      </c>
      <c r="D425" s="31" t="s">
        <v>27</v>
      </c>
      <c r="E425" s="31" t="s">
        <v>28</v>
      </c>
      <c r="F425" s="33">
        <v>5.78</v>
      </c>
      <c r="G425" s="33">
        <v>2.0</v>
      </c>
      <c r="H425" s="33">
        <v>2.7166</v>
      </c>
    </row>
    <row r="426">
      <c r="A426" s="31" t="s">
        <v>497</v>
      </c>
      <c r="B426" s="32">
        <v>41811.0</v>
      </c>
      <c r="C426" s="31" t="s">
        <v>11</v>
      </c>
      <c r="D426" s="31" t="s">
        <v>79</v>
      </c>
      <c r="E426" s="31" t="s">
        <v>45</v>
      </c>
      <c r="F426" s="33">
        <v>19.65</v>
      </c>
      <c r="G426" s="33">
        <v>3.0</v>
      </c>
      <c r="H426" s="33">
        <v>9.039</v>
      </c>
    </row>
    <row r="427">
      <c r="A427" s="31" t="s">
        <v>498</v>
      </c>
      <c r="B427" s="34">
        <v>41972.0</v>
      </c>
      <c r="C427" s="31" t="s">
        <v>11</v>
      </c>
      <c r="D427" s="31" t="s">
        <v>27</v>
      </c>
      <c r="E427" s="31" t="s">
        <v>28</v>
      </c>
      <c r="F427" s="33">
        <v>575.92</v>
      </c>
      <c r="G427" s="33">
        <v>2.0</v>
      </c>
      <c r="H427" s="33">
        <v>71.99</v>
      </c>
    </row>
    <row r="428">
      <c r="A428" s="31" t="s">
        <v>499</v>
      </c>
      <c r="B428" s="34">
        <v>41993.0</v>
      </c>
      <c r="C428" s="31" t="s">
        <v>11</v>
      </c>
      <c r="D428" s="31" t="s">
        <v>44</v>
      </c>
      <c r="E428" s="31" t="s">
        <v>45</v>
      </c>
      <c r="F428" s="33">
        <v>190.848</v>
      </c>
      <c r="G428" s="33">
        <v>3.0</v>
      </c>
      <c r="H428" s="33">
        <v>-21.4704</v>
      </c>
    </row>
    <row r="429">
      <c r="A429" s="31" t="s">
        <v>500</v>
      </c>
      <c r="B429" s="34">
        <v>41990.0</v>
      </c>
      <c r="C429" s="31" t="s">
        <v>11</v>
      </c>
      <c r="D429" s="31" t="s">
        <v>44</v>
      </c>
      <c r="E429" s="31" t="s">
        <v>45</v>
      </c>
      <c r="F429" s="33">
        <v>5.484</v>
      </c>
      <c r="G429" s="33">
        <v>4.0</v>
      </c>
      <c r="H429" s="33">
        <v>-4.0216</v>
      </c>
    </row>
    <row r="430">
      <c r="A430" s="31" t="s">
        <v>501</v>
      </c>
      <c r="B430" s="32">
        <v>41702.0</v>
      </c>
      <c r="C430" s="31" t="s">
        <v>11</v>
      </c>
      <c r="D430" s="31" t="s">
        <v>75</v>
      </c>
      <c r="E430" s="31" t="s">
        <v>59</v>
      </c>
      <c r="F430" s="33">
        <v>15.552</v>
      </c>
      <c r="G430" s="33">
        <v>3.0</v>
      </c>
      <c r="H430" s="33">
        <v>2.3328</v>
      </c>
    </row>
    <row r="431">
      <c r="A431" s="31" t="s">
        <v>502</v>
      </c>
      <c r="B431" s="34">
        <v>41959.0</v>
      </c>
      <c r="C431" s="31" t="s">
        <v>47</v>
      </c>
      <c r="D431" s="31" t="s">
        <v>297</v>
      </c>
      <c r="E431" s="31" t="s">
        <v>31</v>
      </c>
      <c r="F431" s="33">
        <v>78.35</v>
      </c>
      <c r="G431" s="33">
        <v>5.0</v>
      </c>
      <c r="H431" s="33">
        <v>36.8245</v>
      </c>
    </row>
    <row r="432">
      <c r="A432" s="31" t="s">
        <v>503</v>
      </c>
      <c r="B432" s="32">
        <v>41722.0</v>
      </c>
      <c r="C432" s="31" t="s">
        <v>11</v>
      </c>
      <c r="D432" s="31" t="s">
        <v>79</v>
      </c>
      <c r="E432" s="31" t="s">
        <v>45</v>
      </c>
      <c r="F432" s="33">
        <v>24.9</v>
      </c>
      <c r="G432" s="33">
        <v>5.0</v>
      </c>
      <c r="H432" s="33">
        <v>11.703</v>
      </c>
    </row>
    <row r="433">
      <c r="A433" s="31" t="s">
        <v>504</v>
      </c>
      <c r="B433" s="32">
        <v>41974.0</v>
      </c>
      <c r="C433" s="31" t="s">
        <v>11</v>
      </c>
      <c r="D433" s="31" t="s">
        <v>44</v>
      </c>
      <c r="E433" s="31" t="s">
        <v>45</v>
      </c>
      <c r="F433" s="33">
        <v>659.988</v>
      </c>
      <c r="G433" s="33">
        <v>2.0</v>
      </c>
      <c r="H433" s="33">
        <v>109.998</v>
      </c>
    </row>
    <row r="434">
      <c r="A434" s="31" t="s">
        <v>505</v>
      </c>
      <c r="B434" s="34">
        <v>41964.0</v>
      </c>
      <c r="C434" s="31" t="s">
        <v>38</v>
      </c>
      <c r="D434" s="31" t="s">
        <v>27</v>
      </c>
      <c r="E434" s="31" t="s">
        <v>28</v>
      </c>
      <c r="F434" s="33">
        <v>12.96</v>
      </c>
      <c r="G434" s="33">
        <v>2.0</v>
      </c>
      <c r="H434" s="33">
        <v>6.2208</v>
      </c>
    </row>
    <row r="435">
      <c r="A435" s="31" t="s">
        <v>506</v>
      </c>
      <c r="B435" s="32">
        <v>41820.0</v>
      </c>
      <c r="C435" s="31" t="s">
        <v>38</v>
      </c>
      <c r="D435" s="31" t="s">
        <v>41</v>
      </c>
      <c r="E435" s="31" t="s">
        <v>31</v>
      </c>
      <c r="F435" s="33">
        <v>25.92</v>
      </c>
      <c r="G435" s="33">
        <v>5.0</v>
      </c>
      <c r="H435" s="33">
        <v>9.072</v>
      </c>
    </row>
    <row r="436">
      <c r="A436" s="31" t="s">
        <v>507</v>
      </c>
      <c r="B436" s="34">
        <v>41997.0</v>
      </c>
      <c r="C436" s="31" t="s">
        <v>47</v>
      </c>
      <c r="D436" s="31" t="s">
        <v>27</v>
      </c>
      <c r="E436" s="31" t="s">
        <v>28</v>
      </c>
      <c r="F436" s="33">
        <v>173.656</v>
      </c>
      <c r="G436" s="33">
        <v>7.0</v>
      </c>
      <c r="H436" s="33">
        <v>17.3656</v>
      </c>
    </row>
    <row r="437">
      <c r="A437" s="31" t="s">
        <v>508</v>
      </c>
      <c r="B437" s="32">
        <v>41690.0</v>
      </c>
      <c r="C437" s="31" t="s">
        <v>38</v>
      </c>
      <c r="D437" s="31" t="s">
        <v>297</v>
      </c>
      <c r="E437" s="31" t="s">
        <v>31</v>
      </c>
      <c r="F437" s="33">
        <v>62.31</v>
      </c>
      <c r="G437" s="33">
        <v>3.0</v>
      </c>
      <c r="H437" s="33">
        <v>22.4316</v>
      </c>
    </row>
    <row r="438">
      <c r="A438" s="31" t="s">
        <v>509</v>
      </c>
      <c r="B438" s="32">
        <v>41945.0</v>
      </c>
      <c r="C438" s="31" t="s">
        <v>11</v>
      </c>
      <c r="D438" s="31" t="s">
        <v>79</v>
      </c>
      <c r="E438" s="31" t="s">
        <v>45</v>
      </c>
      <c r="F438" s="33">
        <v>34.86</v>
      </c>
      <c r="G438" s="33">
        <v>7.0</v>
      </c>
      <c r="H438" s="33">
        <v>16.0356</v>
      </c>
    </row>
    <row r="439">
      <c r="A439" s="31" t="s">
        <v>510</v>
      </c>
      <c r="B439" s="34">
        <v>41922.0</v>
      </c>
      <c r="C439" s="31" t="s">
        <v>47</v>
      </c>
      <c r="D439" s="31" t="s">
        <v>27</v>
      </c>
      <c r="E439" s="31" t="s">
        <v>28</v>
      </c>
      <c r="F439" s="33">
        <v>122.352</v>
      </c>
      <c r="G439" s="33">
        <v>3.0</v>
      </c>
      <c r="H439" s="33">
        <v>13.7646</v>
      </c>
    </row>
    <row r="440">
      <c r="A440" s="31" t="s">
        <v>511</v>
      </c>
      <c r="B440" s="32">
        <v>41833.0</v>
      </c>
      <c r="C440" s="31" t="s">
        <v>38</v>
      </c>
      <c r="D440" s="31" t="s">
        <v>27</v>
      </c>
      <c r="E440" s="31" t="s">
        <v>28</v>
      </c>
      <c r="F440" s="33">
        <v>351.216</v>
      </c>
      <c r="G440" s="33">
        <v>3.0</v>
      </c>
      <c r="H440" s="33">
        <v>4.3902</v>
      </c>
    </row>
    <row r="441">
      <c r="A441" s="31" t="s">
        <v>512</v>
      </c>
      <c r="B441" s="34">
        <v>42000.0</v>
      </c>
      <c r="C441" s="31" t="s">
        <v>11</v>
      </c>
      <c r="D441" s="31" t="s">
        <v>27</v>
      </c>
      <c r="E441" s="31" t="s">
        <v>28</v>
      </c>
      <c r="F441" s="33">
        <v>230.28</v>
      </c>
      <c r="G441" s="33">
        <v>3.0</v>
      </c>
      <c r="H441" s="33">
        <v>23.028</v>
      </c>
    </row>
    <row r="442">
      <c r="A442" s="31" t="s">
        <v>513</v>
      </c>
      <c r="B442" s="34">
        <v>42004.0</v>
      </c>
      <c r="C442" s="31" t="s">
        <v>38</v>
      </c>
      <c r="D442" s="31" t="s">
        <v>41</v>
      </c>
      <c r="E442" s="31" t="s">
        <v>31</v>
      </c>
      <c r="F442" s="33">
        <v>49.568</v>
      </c>
      <c r="G442" s="33">
        <v>2.0</v>
      </c>
      <c r="H442" s="33">
        <v>17.9684</v>
      </c>
    </row>
    <row r="443">
      <c r="A443" s="31" t="s">
        <v>514</v>
      </c>
      <c r="B443" s="32">
        <v>41764.0</v>
      </c>
      <c r="C443" s="31" t="s">
        <v>11</v>
      </c>
      <c r="D443" s="31" t="s">
        <v>41</v>
      </c>
      <c r="E443" s="31" t="s">
        <v>31</v>
      </c>
      <c r="F443" s="33">
        <v>127.869</v>
      </c>
      <c r="G443" s="33">
        <v>3.0</v>
      </c>
      <c r="H443" s="33">
        <v>-9.1335</v>
      </c>
    </row>
    <row r="444">
      <c r="A444" s="31" t="s">
        <v>515</v>
      </c>
      <c r="B444" s="32">
        <v>41982.0</v>
      </c>
      <c r="C444" s="31" t="s">
        <v>38</v>
      </c>
      <c r="D444" s="31" t="s">
        <v>39</v>
      </c>
      <c r="E444" s="31" t="s">
        <v>28</v>
      </c>
      <c r="F444" s="33">
        <v>100.704</v>
      </c>
      <c r="G444" s="33">
        <v>6.0</v>
      </c>
      <c r="H444" s="33">
        <v>-1.2588</v>
      </c>
    </row>
    <row r="445">
      <c r="A445" s="31" t="s">
        <v>516</v>
      </c>
      <c r="B445" s="32">
        <v>41748.0</v>
      </c>
      <c r="C445" s="31" t="s">
        <v>47</v>
      </c>
      <c r="D445" s="31" t="s">
        <v>27</v>
      </c>
      <c r="E445" s="31" t="s">
        <v>28</v>
      </c>
      <c r="F445" s="33">
        <v>76.14</v>
      </c>
      <c r="G445" s="33">
        <v>3.0</v>
      </c>
      <c r="H445" s="33">
        <v>26.649</v>
      </c>
    </row>
    <row r="446">
      <c r="A446" s="31" t="s">
        <v>517</v>
      </c>
      <c r="B446" s="32">
        <v>41740.0</v>
      </c>
      <c r="C446" s="31" t="s">
        <v>11</v>
      </c>
      <c r="D446" s="31" t="s">
        <v>518</v>
      </c>
      <c r="E446" s="31" t="s">
        <v>28</v>
      </c>
      <c r="F446" s="33">
        <v>9.584</v>
      </c>
      <c r="G446" s="33">
        <v>1.0</v>
      </c>
      <c r="H446" s="33">
        <v>3.3544</v>
      </c>
    </row>
    <row r="447">
      <c r="A447" s="31" t="s">
        <v>519</v>
      </c>
      <c r="B447" s="32">
        <v>41847.0</v>
      </c>
      <c r="C447" s="31" t="s">
        <v>38</v>
      </c>
      <c r="D447" s="31" t="s">
        <v>79</v>
      </c>
      <c r="E447" s="31" t="s">
        <v>45</v>
      </c>
      <c r="F447" s="33">
        <v>65.78</v>
      </c>
      <c r="G447" s="33">
        <v>11.0</v>
      </c>
      <c r="H447" s="33">
        <v>32.2322</v>
      </c>
    </row>
    <row r="448">
      <c r="A448" s="31" t="s">
        <v>520</v>
      </c>
      <c r="B448" s="32">
        <v>41789.0</v>
      </c>
      <c r="C448" s="31" t="s">
        <v>38</v>
      </c>
      <c r="D448" s="31" t="s">
        <v>113</v>
      </c>
      <c r="E448" s="31" t="s">
        <v>59</v>
      </c>
      <c r="F448" s="33">
        <v>13.62</v>
      </c>
      <c r="G448" s="33">
        <v>3.0</v>
      </c>
      <c r="H448" s="33">
        <v>6.129</v>
      </c>
    </row>
    <row r="449">
      <c r="A449" s="31" t="s">
        <v>521</v>
      </c>
      <c r="B449" s="32">
        <v>41764.0</v>
      </c>
      <c r="C449" s="31" t="s">
        <v>38</v>
      </c>
      <c r="D449" s="31" t="s">
        <v>49</v>
      </c>
      <c r="E449" s="31" t="s">
        <v>31</v>
      </c>
      <c r="F449" s="33">
        <v>45.248</v>
      </c>
      <c r="G449" s="33">
        <v>2.0</v>
      </c>
      <c r="H449" s="33">
        <v>3.9592</v>
      </c>
    </row>
    <row r="450">
      <c r="A450" s="31" t="s">
        <v>522</v>
      </c>
      <c r="B450" s="32">
        <v>41712.0</v>
      </c>
      <c r="C450" s="31" t="s">
        <v>11</v>
      </c>
      <c r="D450" s="31" t="s">
        <v>33</v>
      </c>
      <c r="E450" s="31" t="s">
        <v>28</v>
      </c>
      <c r="F450" s="33">
        <v>33.088</v>
      </c>
      <c r="G450" s="33">
        <v>4.0</v>
      </c>
      <c r="H450" s="33">
        <v>11.1672</v>
      </c>
    </row>
    <row r="451">
      <c r="A451" s="31" t="s">
        <v>523</v>
      </c>
      <c r="B451" s="34">
        <v>41993.0</v>
      </c>
      <c r="C451" s="31" t="s">
        <v>11</v>
      </c>
      <c r="D451" s="31" t="s">
        <v>39</v>
      </c>
      <c r="E451" s="31" t="s">
        <v>28</v>
      </c>
      <c r="F451" s="33">
        <v>51.968</v>
      </c>
      <c r="G451" s="33">
        <v>2.0</v>
      </c>
      <c r="H451" s="33">
        <v>10.3936</v>
      </c>
    </row>
    <row r="452">
      <c r="A452" s="31" t="s">
        <v>524</v>
      </c>
      <c r="B452" s="32">
        <v>41729.0</v>
      </c>
      <c r="C452" s="31" t="s">
        <v>11</v>
      </c>
      <c r="D452" s="31" t="s">
        <v>77</v>
      </c>
      <c r="E452" s="31" t="s">
        <v>45</v>
      </c>
      <c r="F452" s="33">
        <v>0.852</v>
      </c>
      <c r="G452" s="33">
        <v>1.0</v>
      </c>
      <c r="H452" s="33">
        <v>-0.5964</v>
      </c>
    </row>
    <row r="453">
      <c r="A453" s="31" t="s">
        <v>525</v>
      </c>
      <c r="B453" s="34">
        <v>41989.0</v>
      </c>
      <c r="C453" s="31" t="s">
        <v>11</v>
      </c>
      <c r="D453" s="31" t="s">
        <v>41</v>
      </c>
      <c r="E453" s="31" t="s">
        <v>31</v>
      </c>
      <c r="F453" s="33">
        <v>36.288</v>
      </c>
      <c r="G453" s="33">
        <v>7.0</v>
      </c>
      <c r="H453" s="33">
        <v>12.7008</v>
      </c>
    </row>
    <row r="454">
      <c r="A454" s="31" t="s">
        <v>526</v>
      </c>
      <c r="B454" s="32">
        <v>41797.0</v>
      </c>
      <c r="C454" s="31" t="s">
        <v>11</v>
      </c>
      <c r="D454" s="31" t="s">
        <v>49</v>
      </c>
      <c r="E454" s="31" t="s">
        <v>31</v>
      </c>
      <c r="F454" s="33">
        <v>268.935</v>
      </c>
      <c r="G454" s="33">
        <v>3.0</v>
      </c>
      <c r="H454" s="33">
        <v>-209.7693</v>
      </c>
    </row>
    <row r="455">
      <c r="A455" s="31" t="s">
        <v>527</v>
      </c>
      <c r="B455" s="34">
        <v>41968.0</v>
      </c>
      <c r="C455" s="31" t="s">
        <v>47</v>
      </c>
      <c r="D455" s="31" t="s">
        <v>79</v>
      </c>
      <c r="E455" s="31" t="s">
        <v>45</v>
      </c>
      <c r="F455" s="33">
        <v>1117.92</v>
      </c>
      <c r="G455" s="33">
        <v>4.0</v>
      </c>
      <c r="H455" s="33">
        <v>55.896</v>
      </c>
    </row>
    <row r="456">
      <c r="A456" s="31" t="s">
        <v>528</v>
      </c>
      <c r="B456" s="32">
        <v>41950.0</v>
      </c>
      <c r="C456" s="31" t="s">
        <v>11</v>
      </c>
      <c r="D456" s="31" t="s">
        <v>27</v>
      </c>
      <c r="E456" s="31" t="s">
        <v>28</v>
      </c>
      <c r="F456" s="33">
        <v>123.144</v>
      </c>
      <c r="G456" s="33">
        <v>7.0</v>
      </c>
      <c r="H456" s="33">
        <v>46.179</v>
      </c>
    </row>
    <row r="457">
      <c r="A457" s="31" t="s">
        <v>529</v>
      </c>
      <c r="B457" s="32">
        <v>41946.0</v>
      </c>
      <c r="C457" s="31" t="s">
        <v>11</v>
      </c>
      <c r="D457" s="31" t="s">
        <v>79</v>
      </c>
      <c r="E457" s="31" t="s">
        <v>45</v>
      </c>
      <c r="F457" s="33">
        <v>783.96</v>
      </c>
      <c r="G457" s="33">
        <v>4.0</v>
      </c>
      <c r="H457" s="33">
        <v>219.5088</v>
      </c>
    </row>
    <row r="458">
      <c r="A458" s="31" t="s">
        <v>530</v>
      </c>
      <c r="B458" s="32">
        <v>41899.0</v>
      </c>
      <c r="C458" s="31" t="s">
        <v>11</v>
      </c>
      <c r="D458" s="31" t="s">
        <v>27</v>
      </c>
      <c r="E458" s="31" t="s">
        <v>28</v>
      </c>
      <c r="F458" s="33">
        <v>182.94</v>
      </c>
      <c r="G458" s="33">
        <v>3.0</v>
      </c>
      <c r="H458" s="33">
        <v>85.9818</v>
      </c>
    </row>
    <row r="459">
      <c r="A459" s="31" t="s">
        <v>531</v>
      </c>
      <c r="B459" s="34">
        <v>41943.0</v>
      </c>
      <c r="C459" s="31" t="s">
        <v>11</v>
      </c>
      <c r="D459" s="31" t="s">
        <v>39</v>
      </c>
      <c r="E459" s="31" t="s">
        <v>28</v>
      </c>
      <c r="F459" s="33">
        <v>742.336</v>
      </c>
      <c r="G459" s="33">
        <v>8.0</v>
      </c>
      <c r="H459" s="33">
        <v>83.5128</v>
      </c>
    </row>
    <row r="460">
      <c r="A460" s="31" t="s">
        <v>532</v>
      </c>
      <c r="B460" s="32">
        <v>41828.0</v>
      </c>
      <c r="C460" s="31" t="s">
        <v>11</v>
      </c>
      <c r="D460" s="31" t="s">
        <v>79</v>
      </c>
      <c r="E460" s="31" t="s">
        <v>45</v>
      </c>
      <c r="F460" s="33">
        <v>63.882</v>
      </c>
      <c r="G460" s="33">
        <v>1.0</v>
      </c>
      <c r="H460" s="33">
        <v>10.647</v>
      </c>
    </row>
    <row r="461">
      <c r="A461" s="31" t="s">
        <v>533</v>
      </c>
      <c r="B461" s="32">
        <v>41950.0</v>
      </c>
      <c r="C461" s="31" t="s">
        <v>11</v>
      </c>
      <c r="D461" s="31" t="s">
        <v>41</v>
      </c>
      <c r="E461" s="31" t="s">
        <v>31</v>
      </c>
      <c r="F461" s="33">
        <v>683.144</v>
      </c>
      <c r="G461" s="33">
        <v>4.0</v>
      </c>
      <c r="H461" s="33">
        <v>0.0</v>
      </c>
    </row>
    <row r="462">
      <c r="A462" s="31" t="s">
        <v>534</v>
      </c>
      <c r="B462" s="34">
        <v>41966.0</v>
      </c>
      <c r="C462" s="31" t="s">
        <v>38</v>
      </c>
      <c r="D462" s="31" t="s">
        <v>77</v>
      </c>
      <c r="E462" s="31" t="s">
        <v>45</v>
      </c>
      <c r="F462" s="33">
        <v>62.808</v>
      </c>
      <c r="G462" s="33">
        <v>3.0</v>
      </c>
      <c r="H462" s="33">
        <v>21.1977</v>
      </c>
    </row>
    <row r="463">
      <c r="A463" s="31" t="s">
        <v>535</v>
      </c>
      <c r="B463" s="34">
        <v>41999.0</v>
      </c>
      <c r="C463" s="31" t="s">
        <v>11</v>
      </c>
      <c r="D463" s="31" t="s">
        <v>77</v>
      </c>
      <c r="E463" s="31" t="s">
        <v>45</v>
      </c>
      <c r="F463" s="33">
        <v>18.264</v>
      </c>
      <c r="G463" s="33">
        <v>3.0</v>
      </c>
      <c r="H463" s="33">
        <v>6.1641</v>
      </c>
    </row>
    <row r="464">
      <c r="A464" s="31" t="s">
        <v>536</v>
      </c>
      <c r="B464" s="32">
        <v>41944.0</v>
      </c>
      <c r="C464" s="31" t="s">
        <v>38</v>
      </c>
      <c r="D464" s="31" t="s">
        <v>401</v>
      </c>
      <c r="E464" s="31" t="s">
        <v>59</v>
      </c>
      <c r="F464" s="33">
        <v>69.52</v>
      </c>
      <c r="G464" s="33">
        <v>2.0</v>
      </c>
      <c r="H464" s="33">
        <v>19.4656</v>
      </c>
    </row>
    <row r="465">
      <c r="A465" s="31" t="s">
        <v>537</v>
      </c>
      <c r="B465" s="32">
        <v>41950.0</v>
      </c>
      <c r="C465" s="31" t="s">
        <v>11</v>
      </c>
      <c r="D465" s="31" t="s">
        <v>30</v>
      </c>
      <c r="E465" s="31" t="s">
        <v>31</v>
      </c>
      <c r="F465" s="33">
        <v>245.88</v>
      </c>
      <c r="G465" s="33">
        <v>6.0</v>
      </c>
      <c r="H465" s="33">
        <v>68.8464</v>
      </c>
    </row>
    <row r="466">
      <c r="A466" s="31" t="s">
        <v>538</v>
      </c>
      <c r="B466" s="32">
        <v>41733.0</v>
      </c>
      <c r="C466" s="31" t="s">
        <v>38</v>
      </c>
      <c r="D466" s="31" t="s">
        <v>27</v>
      </c>
      <c r="E466" s="31" t="s">
        <v>28</v>
      </c>
      <c r="F466" s="33">
        <v>7.184</v>
      </c>
      <c r="G466" s="33">
        <v>2.0</v>
      </c>
      <c r="H466" s="33">
        <v>2.245</v>
      </c>
    </row>
    <row r="467">
      <c r="A467" s="31" t="s">
        <v>539</v>
      </c>
      <c r="B467" s="32">
        <v>41815.0</v>
      </c>
      <c r="C467" s="31" t="s">
        <v>38</v>
      </c>
      <c r="D467" s="31" t="s">
        <v>211</v>
      </c>
      <c r="E467" s="31" t="s">
        <v>28</v>
      </c>
      <c r="F467" s="33">
        <v>263.96</v>
      </c>
      <c r="G467" s="33">
        <v>5.0</v>
      </c>
      <c r="H467" s="33">
        <v>19.797</v>
      </c>
    </row>
    <row r="468">
      <c r="A468" s="31" t="s">
        <v>540</v>
      </c>
      <c r="B468" s="32">
        <v>41890.0</v>
      </c>
      <c r="C468" s="31" t="s">
        <v>11</v>
      </c>
      <c r="D468" s="31" t="s">
        <v>52</v>
      </c>
      <c r="E468" s="31" t="s">
        <v>28</v>
      </c>
      <c r="F468" s="33">
        <v>5.88</v>
      </c>
      <c r="G468" s="33">
        <v>2.0</v>
      </c>
      <c r="H468" s="33">
        <v>2.646</v>
      </c>
    </row>
    <row r="469">
      <c r="A469" s="31" t="s">
        <v>541</v>
      </c>
      <c r="B469" s="34">
        <v>41985.0</v>
      </c>
      <c r="C469" s="31" t="s">
        <v>11</v>
      </c>
      <c r="D469" s="31" t="s">
        <v>27</v>
      </c>
      <c r="E469" s="31" t="s">
        <v>28</v>
      </c>
      <c r="F469" s="33">
        <v>12.54</v>
      </c>
      <c r="G469" s="33">
        <v>3.0</v>
      </c>
      <c r="H469" s="33">
        <v>4.5144</v>
      </c>
    </row>
    <row r="470">
      <c r="A470" s="31" t="s">
        <v>542</v>
      </c>
      <c r="B470" s="32">
        <v>41740.0</v>
      </c>
      <c r="C470" s="31" t="s">
        <v>47</v>
      </c>
      <c r="D470" s="31" t="s">
        <v>41</v>
      </c>
      <c r="E470" s="31" t="s">
        <v>31</v>
      </c>
      <c r="F470" s="33">
        <v>758.352</v>
      </c>
      <c r="G470" s="33">
        <v>6.0</v>
      </c>
      <c r="H470" s="33">
        <v>265.4232</v>
      </c>
    </row>
    <row r="471">
      <c r="A471" s="31" t="s">
        <v>543</v>
      </c>
      <c r="B471" s="32">
        <v>41975.0</v>
      </c>
      <c r="C471" s="31" t="s">
        <v>38</v>
      </c>
      <c r="D471" s="31" t="s">
        <v>44</v>
      </c>
      <c r="E471" s="31" t="s">
        <v>45</v>
      </c>
      <c r="F471" s="33">
        <v>119.8</v>
      </c>
      <c r="G471" s="33">
        <v>5.0</v>
      </c>
      <c r="H471" s="33">
        <v>29.95</v>
      </c>
    </row>
    <row r="472">
      <c r="A472" s="31" t="s">
        <v>544</v>
      </c>
      <c r="B472" s="32">
        <v>41915.0</v>
      </c>
      <c r="C472" s="31" t="s">
        <v>47</v>
      </c>
      <c r="D472" s="31" t="s">
        <v>65</v>
      </c>
      <c r="E472" s="31" t="s">
        <v>59</v>
      </c>
      <c r="F472" s="33">
        <v>61.568</v>
      </c>
      <c r="G472" s="33">
        <v>2.0</v>
      </c>
      <c r="H472" s="33">
        <v>4.6176</v>
      </c>
    </row>
    <row r="473">
      <c r="A473" s="31" t="s">
        <v>545</v>
      </c>
      <c r="B473" s="34">
        <v>41989.0</v>
      </c>
      <c r="C473" s="31" t="s">
        <v>38</v>
      </c>
      <c r="D473" s="31" t="s">
        <v>36</v>
      </c>
      <c r="E473" s="31" t="s">
        <v>31</v>
      </c>
      <c r="F473" s="33">
        <v>114.2</v>
      </c>
      <c r="G473" s="33">
        <v>5.0</v>
      </c>
      <c r="H473" s="33">
        <v>52.532</v>
      </c>
    </row>
    <row r="474">
      <c r="A474" s="31" t="s">
        <v>546</v>
      </c>
      <c r="B474" s="34">
        <v>41927.0</v>
      </c>
      <c r="C474" s="31" t="s">
        <v>11</v>
      </c>
      <c r="D474" s="31" t="s">
        <v>44</v>
      </c>
      <c r="E474" s="31" t="s">
        <v>45</v>
      </c>
      <c r="F474" s="33">
        <v>183.372</v>
      </c>
      <c r="G474" s="33">
        <v>2.0</v>
      </c>
      <c r="H474" s="33">
        <v>-7.8588</v>
      </c>
    </row>
    <row r="475">
      <c r="A475" s="31" t="s">
        <v>547</v>
      </c>
      <c r="B475" s="32">
        <v>41974.0</v>
      </c>
      <c r="C475" s="31" t="s">
        <v>38</v>
      </c>
      <c r="D475" s="31" t="s">
        <v>41</v>
      </c>
      <c r="E475" s="31" t="s">
        <v>31</v>
      </c>
      <c r="F475" s="33">
        <v>674.058</v>
      </c>
      <c r="G475" s="33">
        <v>3.0</v>
      </c>
      <c r="H475" s="33">
        <v>-19.2588</v>
      </c>
    </row>
    <row r="476">
      <c r="A476" s="31" t="s">
        <v>548</v>
      </c>
      <c r="B476" s="34">
        <v>41926.0</v>
      </c>
      <c r="C476" s="31" t="s">
        <v>38</v>
      </c>
      <c r="D476" s="31" t="s">
        <v>266</v>
      </c>
      <c r="E476" s="31" t="s">
        <v>45</v>
      </c>
      <c r="F476" s="33">
        <v>22.92</v>
      </c>
      <c r="G476" s="33">
        <v>4.0</v>
      </c>
      <c r="H476" s="33">
        <v>11.0016</v>
      </c>
    </row>
    <row r="477">
      <c r="A477" s="31" t="s">
        <v>549</v>
      </c>
      <c r="B477" s="34">
        <v>41961.0</v>
      </c>
      <c r="C477" s="31" t="s">
        <v>11</v>
      </c>
      <c r="D477" s="31" t="s">
        <v>44</v>
      </c>
      <c r="E477" s="31" t="s">
        <v>45</v>
      </c>
      <c r="F477" s="33">
        <v>11.808</v>
      </c>
      <c r="G477" s="33">
        <v>8.0</v>
      </c>
      <c r="H477" s="33">
        <v>-8.6592</v>
      </c>
    </row>
    <row r="478">
      <c r="A478" s="31" t="s">
        <v>550</v>
      </c>
      <c r="B478" s="32">
        <v>41884.0</v>
      </c>
      <c r="C478" s="31" t="s">
        <v>11</v>
      </c>
      <c r="D478" s="31" t="s">
        <v>79</v>
      </c>
      <c r="E478" s="31" t="s">
        <v>45</v>
      </c>
      <c r="F478" s="33">
        <v>57.75</v>
      </c>
      <c r="G478" s="33">
        <v>5.0</v>
      </c>
      <c r="H478" s="33">
        <v>16.17</v>
      </c>
    </row>
    <row r="479">
      <c r="A479" s="31" t="s">
        <v>551</v>
      </c>
      <c r="B479" s="32">
        <v>41652.0</v>
      </c>
      <c r="C479" s="31" t="s">
        <v>11</v>
      </c>
      <c r="D479" s="31" t="s">
        <v>27</v>
      </c>
      <c r="E479" s="31" t="s">
        <v>28</v>
      </c>
      <c r="F479" s="33">
        <v>1325.85</v>
      </c>
      <c r="G479" s="33">
        <v>5.0</v>
      </c>
      <c r="H479" s="33">
        <v>238.653</v>
      </c>
    </row>
    <row r="480">
      <c r="A480" s="31" t="s">
        <v>552</v>
      </c>
      <c r="B480" s="32">
        <v>41916.0</v>
      </c>
      <c r="C480" s="31" t="s">
        <v>11</v>
      </c>
      <c r="D480" s="31" t="s">
        <v>52</v>
      </c>
      <c r="E480" s="31" t="s">
        <v>28</v>
      </c>
      <c r="F480" s="33">
        <v>29.24</v>
      </c>
      <c r="G480" s="33">
        <v>4.0</v>
      </c>
      <c r="H480" s="33">
        <v>13.7428</v>
      </c>
    </row>
    <row r="481">
      <c r="A481" s="31" t="s">
        <v>553</v>
      </c>
      <c r="B481" s="32">
        <v>41799.0</v>
      </c>
      <c r="C481" s="31" t="s">
        <v>38</v>
      </c>
      <c r="D481" s="31" t="s">
        <v>440</v>
      </c>
      <c r="E481" s="31" t="s">
        <v>28</v>
      </c>
      <c r="F481" s="33">
        <v>18.06</v>
      </c>
      <c r="G481" s="33">
        <v>7.0</v>
      </c>
      <c r="H481" s="33">
        <v>4.6956</v>
      </c>
    </row>
    <row r="482">
      <c r="A482" s="31" t="s">
        <v>554</v>
      </c>
      <c r="B482" s="32">
        <v>41705.0</v>
      </c>
      <c r="C482" s="31" t="s">
        <v>11</v>
      </c>
      <c r="D482" s="31" t="s">
        <v>52</v>
      </c>
      <c r="E482" s="31" t="s">
        <v>28</v>
      </c>
      <c r="F482" s="33">
        <v>48.712</v>
      </c>
      <c r="G482" s="33">
        <v>1.0</v>
      </c>
      <c r="H482" s="33">
        <v>5.4801</v>
      </c>
    </row>
    <row r="483">
      <c r="A483" s="31" t="s">
        <v>555</v>
      </c>
      <c r="B483" s="34">
        <v>41959.0</v>
      </c>
      <c r="C483" s="31" t="s">
        <v>38</v>
      </c>
      <c r="D483" s="31" t="s">
        <v>27</v>
      </c>
      <c r="E483" s="31" t="s">
        <v>28</v>
      </c>
      <c r="F483" s="33">
        <v>5.22</v>
      </c>
      <c r="G483" s="33">
        <v>2.0</v>
      </c>
      <c r="H483" s="33">
        <v>2.4012</v>
      </c>
    </row>
    <row r="484">
      <c r="A484" s="31" t="s">
        <v>556</v>
      </c>
      <c r="B484" s="32">
        <v>41885.0</v>
      </c>
      <c r="C484" s="31" t="s">
        <v>11</v>
      </c>
      <c r="D484" s="31" t="s">
        <v>79</v>
      </c>
      <c r="E484" s="31" t="s">
        <v>45</v>
      </c>
      <c r="F484" s="33">
        <v>14.4</v>
      </c>
      <c r="G484" s="33">
        <v>5.0</v>
      </c>
      <c r="H484" s="33">
        <v>7.056</v>
      </c>
    </row>
    <row r="485">
      <c r="A485" s="31" t="s">
        <v>557</v>
      </c>
      <c r="B485" s="32">
        <v>41947.0</v>
      </c>
      <c r="C485" s="31" t="s">
        <v>47</v>
      </c>
      <c r="D485" s="31" t="s">
        <v>79</v>
      </c>
      <c r="E485" s="31" t="s">
        <v>45</v>
      </c>
      <c r="F485" s="33">
        <v>52.064</v>
      </c>
      <c r="G485" s="33">
        <v>4.0</v>
      </c>
      <c r="H485" s="33">
        <v>18.8732</v>
      </c>
    </row>
    <row r="486">
      <c r="A486" s="31" t="s">
        <v>558</v>
      </c>
      <c r="B486" s="32">
        <v>41759.0</v>
      </c>
      <c r="C486" s="31" t="s">
        <v>11</v>
      </c>
      <c r="D486" s="31" t="s">
        <v>111</v>
      </c>
      <c r="E486" s="31" t="s">
        <v>59</v>
      </c>
      <c r="F486" s="33">
        <v>47.79</v>
      </c>
      <c r="G486" s="33">
        <v>3.0</v>
      </c>
      <c r="H486" s="33">
        <v>16.2486</v>
      </c>
    </row>
    <row r="487">
      <c r="A487" s="31" t="s">
        <v>559</v>
      </c>
      <c r="B487" s="34">
        <v>41967.0</v>
      </c>
      <c r="C487" s="31" t="s">
        <v>11</v>
      </c>
      <c r="D487" s="31" t="s">
        <v>44</v>
      </c>
      <c r="E487" s="31" t="s">
        <v>45</v>
      </c>
      <c r="F487" s="33">
        <v>35.168</v>
      </c>
      <c r="G487" s="33">
        <v>7.0</v>
      </c>
      <c r="H487" s="33">
        <v>9.6712</v>
      </c>
    </row>
    <row r="488">
      <c r="A488" s="31" t="s">
        <v>560</v>
      </c>
      <c r="B488" s="34">
        <v>41958.0</v>
      </c>
      <c r="C488" s="31" t="s">
        <v>11</v>
      </c>
      <c r="D488" s="31" t="s">
        <v>27</v>
      </c>
      <c r="E488" s="31" t="s">
        <v>28</v>
      </c>
      <c r="F488" s="33">
        <v>10.11</v>
      </c>
      <c r="G488" s="33">
        <v>3.0</v>
      </c>
      <c r="H488" s="33">
        <v>3.2352</v>
      </c>
    </row>
    <row r="489">
      <c r="A489" s="31" t="s">
        <v>561</v>
      </c>
      <c r="B489" s="32">
        <v>41884.0</v>
      </c>
      <c r="C489" s="31" t="s">
        <v>11</v>
      </c>
      <c r="D489" s="31" t="s">
        <v>49</v>
      </c>
      <c r="E489" s="31" t="s">
        <v>31</v>
      </c>
      <c r="F489" s="33">
        <v>239.976</v>
      </c>
      <c r="G489" s="33">
        <v>3.0</v>
      </c>
      <c r="H489" s="33">
        <v>53.9946</v>
      </c>
    </row>
    <row r="490">
      <c r="A490" s="31" t="s">
        <v>562</v>
      </c>
      <c r="B490" s="32">
        <v>41735.0</v>
      </c>
      <c r="C490" s="31" t="s">
        <v>38</v>
      </c>
      <c r="D490" s="31" t="s">
        <v>52</v>
      </c>
      <c r="E490" s="31" t="s">
        <v>28</v>
      </c>
      <c r="F490" s="33">
        <v>653.55</v>
      </c>
      <c r="G490" s="33">
        <v>3.0</v>
      </c>
      <c r="H490" s="33">
        <v>111.1035</v>
      </c>
    </row>
    <row r="491">
      <c r="A491" s="31" t="s">
        <v>563</v>
      </c>
      <c r="B491" s="32">
        <v>41729.0</v>
      </c>
      <c r="C491" s="31" t="s">
        <v>11</v>
      </c>
      <c r="D491" s="31" t="s">
        <v>49</v>
      </c>
      <c r="E491" s="31" t="s">
        <v>31</v>
      </c>
      <c r="F491" s="33">
        <v>8.134</v>
      </c>
      <c r="G491" s="33">
        <v>7.0</v>
      </c>
      <c r="H491" s="33">
        <v>-13.8278</v>
      </c>
    </row>
    <row r="492">
      <c r="A492" s="31" t="s">
        <v>564</v>
      </c>
      <c r="B492" s="32">
        <v>41859.0</v>
      </c>
      <c r="C492" s="31" t="s">
        <v>47</v>
      </c>
      <c r="D492" s="31" t="s">
        <v>36</v>
      </c>
      <c r="E492" s="31" t="s">
        <v>31</v>
      </c>
      <c r="F492" s="33">
        <v>549.99</v>
      </c>
      <c r="G492" s="33">
        <v>1.0</v>
      </c>
      <c r="H492" s="33">
        <v>274.995</v>
      </c>
    </row>
    <row r="493">
      <c r="A493" s="31" t="s">
        <v>565</v>
      </c>
      <c r="B493" s="32">
        <v>41749.0</v>
      </c>
      <c r="C493" s="31" t="s">
        <v>11</v>
      </c>
      <c r="D493" s="31" t="s">
        <v>41</v>
      </c>
      <c r="E493" s="31" t="s">
        <v>31</v>
      </c>
      <c r="F493" s="33">
        <v>744.1</v>
      </c>
      <c r="G493" s="33">
        <v>5.0</v>
      </c>
      <c r="H493" s="33">
        <v>-95.67</v>
      </c>
    </row>
    <row r="494">
      <c r="A494" s="31" t="s">
        <v>566</v>
      </c>
      <c r="B494" s="32">
        <v>41979.0</v>
      </c>
      <c r="C494" s="31" t="s">
        <v>11</v>
      </c>
      <c r="D494" s="31" t="s">
        <v>49</v>
      </c>
      <c r="E494" s="31" t="s">
        <v>31</v>
      </c>
      <c r="F494" s="33">
        <v>14.016</v>
      </c>
      <c r="G494" s="33">
        <v>4.0</v>
      </c>
      <c r="H494" s="33">
        <v>-31.536</v>
      </c>
    </row>
    <row r="495">
      <c r="A495" s="31" t="s">
        <v>567</v>
      </c>
      <c r="B495" s="32">
        <v>41715.0</v>
      </c>
      <c r="C495" s="31" t="s">
        <v>11</v>
      </c>
      <c r="D495" s="31" t="s">
        <v>41</v>
      </c>
      <c r="E495" s="31" t="s">
        <v>31</v>
      </c>
      <c r="F495" s="33">
        <v>4.448</v>
      </c>
      <c r="G495" s="33">
        <v>2.0</v>
      </c>
      <c r="H495" s="33">
        <v>0.3336</v>
      </c>
    </row>
    <row r="496">
      <c r="A496" s="31" t="s">
        <v>568</v>
      </c>
      <c r="B496" s="34">
        <v>41987.0</v>
      </c>
      <c r="C496" s="31" t="s">
        <v>11</v>
      </c>
      <c r="D496" s="31" t="s">
        <v>75</v>
      </c>
      <c r="E496" s="31" t="s">
        <v>59</v>
      </c>
      <c r="F496" s="33">
        <v>186.304</v>
      </c>
      <c r="G496" s="33">
        <v>4.0</v>
      </c>
      <c r="H496" s="33">
        <v>13.9728</v>
      </c>
    </row>
    <row r="497">
      <c r="A497" s="31" t="s">
        <v>569</v>
      </c>
      <c r="B497" s="34">
        <v>41930.0</v>
      </c>
      <c r="C497" s="31" t="s">
        <v>38</v>
      </c>
      <c r="D497" s="31" t="s">
        <v>77</v>
      </c>
      <c r="E497" s="31" t="s">
        <v>45</v>
      </c>
      <c r="F497" s="33">
        <v>52.512</v>
      </c>
      <c r="G497" s="33">
        <v>6.0</v>
      </c>
      <c r="H497" s="33">
        <v>19.692</v>
      </c>
    </row>
    <row r="498">
      <c r="A498" s="31" t="s">
        <v>570</v>
      </c>
      <c r="B498" s="32">
        <v>41733.0</v>
      </c>
      <c r="C498" s="31" t="s">
        <v>38</v>
      </c>
      <c r="D498" s="31" t="s">
        <v>58</v>
      </c>
      <c r="E498" s="31" t="s">
        <v>59</v>
      </c>
      <c r="F498" s="33">
        <v>232.55</v>
      </c>
      <c r="G498" s="33">
        <v>5.0</v>
      </c>
      <c r="H498" s="33">
        <v>9.302</v>
      </c>
    </row>
    <row r="499">
      <c r="A499" s="31" t="s">
        <v>571</v>
      </c>
      <c r="B499" s="32">
        <v>41896.0</v>
      </c>
      <c r="C499" s="31" t="s">
        <v>11</v>
      </c>
      <c r="D499" s="31" t="s">
        <v>79</v>
      </c>
      <c r="E499" s="31" t="s">
        <v>45</v>
      </c>
      <c r="F499" s="33">
        <v>464.292</v>
      </c>
      <c r="G499" s="33">
        <v>9.0</v>
      </c>
      <c r="H499" s="33">
        <v>-108.3348</v>
      </c>
    </row>
    <row r="500">
      <c r="A500" s="31" t="s">
        <v>572</v>
      </c>
      <c r="B500" s="32">
        <v>41811.0</v>
      </c>
      <c r="C500" s="31" t="s">
        <v>11</v>
      </c>
      <c r="D500" s="31" t="s">
        <v>79</v>
      </c>
      <c r="E500" s="31" t="s">
        <v>45</v>
      </c>
      <c r="F500" s="33">
        <v>1214.85</v>
      </c>
      <c r="G500" s="33">
        <v>3.0</v>
      </c>
      <c r="H500" s="33">
        <v>352.3065</v>
      </c>
    </row>
    <row r="501">
      <c r="A501" s="31" t="s">
        <v>573</v>
      </c>
      <c r="B501" s="32">
        <v>41820.0</v>
      </c>
      <c r="C501" s="31" t="s">
        <v>11</v>
      </c>
      <c r="D501" s="31" t="s">
        <v>79</v>
      </c>
      <c r="E501" s="31" t="s">
        <v>45</v>
      </c>
      <c r="F501" s="33">
        <v>2.688</v>
      </c>
      <c r="G501" s="33">
        <v>1.0</v>
      </c>
      <c r="H501" s="33">
        <v>0.84</v>
      </c>
    </row>
    <row r="502">
      <c r="A502" s="31" t="s">
        <v>574</v>
      </c>
      <c r="B502" s="32">
        <v>41850.0</v>
      </c>
      <c r="C502" s="31" t="s">
        <v>38</v>
      </c>
      <c r="D502" s="31" t="s">
        <v>52</v>
      </c>
      <c r="E502" s="31" t="s">
        <v>28</v>
      </c>
      <c r="F502" s="33">
        <v>1367.84</v>
      </c>
      <c r="G502" s="33">
        <v>8.0</v>
      </c>
      <c r="H502" s="33">
        <v>259.8896</v>
      </c>
    </row>
    <row r="503">
      <c r="A503" s="31" t="s">
        <v>575</v>
      </c>
      <c r="B503" s="34">
        <v>41953.0</v>
      </c>
      <c r="C503" s="31" t="s">
        <v>11</v>
      </c>
      <c r="D503" s="31" t="s">
        <v>36</v>
      </c>
      <c r="E503" s="31" t="s">
        <v>31</v>
      </c>
      <c r="F503" s="33">
        <v>3.9</v>
      </c>
      <c r="G503" s="33">
        <v>2.0</v>
      </c>
      <c r="H503" s="33">
        <v>1.521</v>
      </c>
    </row>
    <row r="504">
      <c r="A504" s="31" t="s">
        <v>576</v>
      </c>
      <c r="B504" s="34">
        <v>41971.0</v>
      </c>
      <c r="C504" s="31" t="s">
        <v>38</v>
      </c>
      <c r="D504" s="31" t="s">
        <v>205</v>
      </c>
      <c r="E504" s="31" t="s">
        <v>59</v>
      </c>
      <c r="F504" s="33">
        <v>397.6</v>
      </c>
      <c r="G504" s="33">
        <v>5.0</v>
      </c>
      <c r="H504" s="33">
        <v>43.736</v>
      </c>
    </row>
    <row r="505">
      <c r="A505" s="31" t="s">
        <v>577</v>
      </c>
      <c r="B505" s="32">
        <v>41769.0</v>
      </c>
      <c r="C505" s="31" t="s">
        <v>11</v>
      </c>
      <c r="D505" s="31" t="s">
        <v>52</v>
      </c>
      <c r="E505" s="31" t="s">
        <v>28</v>
      </c>
      <c r="F505" s="33">
        <v>158.13</v>
      </c>
      <c r="G505" s="33">
        <v>3.0</v>
      </c>
      <c r="H505" s="33">
        <v>77.4837</v>
      </c>
    </row>
    <row r="506">
      <c r="A506" s="31" t="s">
        <v>578</v>
      </c>
      <c r="B506" s="32">
        <v>41804.0</v>
      </c>
      <c r="C506" s="31" t="s">
        <v>47</v>
      </c>
      <c r="D506" s="31" t="s">
        <v>36</v>
      </c>
      <c r="E506" s="31" t="s">
        <v>31</v>
      </c>
      <c r="F506" s="33">
        <v>212.94</v>
      </c>
      <c r="G506" s="33">
        <v>3.0</v>
      </c>
      <c r="H506" s="33">
        <v>57.4938</v>
      </c>
    </row>
    <row r="507">
      <c r="A507" s="31" t="s">
        <v>579</v>
      </c>
      <c r="B507" s="34">
        <v>41969.0</v>
      </c>
      <c r="C507" s="31" t="s">
        <v>47</v>
      </c>
      <c r="D507" s="31" t="s">
        <v>27</v>
      </c>
      <c r="E507" s="31" t="s">
        <v>28</v>
      </c>
      <c r="F507" s="33">
        <v>81.98</v>
      </c>
      <c r="G507" s="33">
        <v>2.0</v>
      </c>
      <c r="H507" s="33">
        <v>40.1702</v>
      </c>
    </row>
    <row r="508">
      <c r="A508" s="31" t="s">
        <v>580</v>
      </c>
      <c r="B508" s="34">
        <v>41930.0</v>
      </c>
      <c r="C508" s="31" t="s">
        <v>38</v>
      </c>
      <c r="D508" s="31" t="s">
        <v>157</v>
      </c>
      <c r="E508" s="31" t="s">
        <v>59</v>
      </c>
      <c r="F508" s="33">
        <v>605.34</v>
      </c>
      <c r="G508" s="33">
        <v>6.0</v>
      </c>
      <c r="H508" s="33">
        <v>145.2816</v>
      </c>
    </row>
    <row r="509">
      <c r="A509" s="31" t="s">
        <v>581</v>
      </c>
      <c r="B509" s="32">
        <v>41902.0</v>
      </c>
      <c r="C509" s="31" t="s">
        <v>11</v>
      </c>
      <c r="D509" s="31" t="s">
        <v>227</v>
      </c>
      <c r="E509" s="31" t="s">
        <v>45</v>
      </c>
      <c r="F509" s="33">
        <v>164.22</v>
      </c>
      <c r="G509" s="33">
        <v>3.0</v>
      </c>
      <c r="H509" s="33">
        <v>50.9082</v>
      </c>
    </row>
    <row r="510">
      <c r="A510" s="31" t="s">
        <v>582</v>
      </c>
      <c r="B510" s="32">
        <v>41705.0</v>
      </c>
      <c r="C510" s="31" t="s">
        <v>47</v>
      </c>
      <c r="D510" s="31" t="s">
        <v>52</v>
      </c>
      <c r="E510" s="31" t="s">
        <v>28</v>
      </c>
      <c r="F510" s="33">
        <v>107.648</v>
      </c>
      <c r="G510" s="33">
        <v>2.0</v>
      </c>
      <c r="H510" s="33">
        <v>33.64</v>
      </c>
    </row>
    <row r="511">
      <c r="A511" s="31" t="s">
        <v>583</v>
      </c>
      <c r="B511" s="32">
        <v>41889.0</v>
      </c>
      <c r="C511" s="31" t="s">
        <v>47</v>
      </c>
      <c r="D511" s="31" t="s">
        <v>41</v>
      </c>
      <c r="E511" s="31" t="s">
        <v>31</v>
      </c>
      <c r="F511" s="33">
        <v>196.776</v>
      </c>
      <c r="G511" s="33">
        <v>3.0</v>
      </c>
      <c r="H511" s="33">
        <v>14.7582</v>
      </c>
    </row>
    <row r="512">
      <c r="A512" s="31" t="s">
        <v>584</v>
      </c>
      <c r="B512" s="32">
        <v>41895.0</v>
      </c>
      <c r="C512" s="31" t="s">
        <v>47</v>
      </c>
      <c r="D512" s="31" t="s">
        <v>41</v>
      </c>
      <c r="E512" s="31" t="s">
        <v>31</v>
      </c>
      <c r="F512" s="33">
        <v>340.116</v>
      </c>
      <c r="G512" s="33">
        <v>6.0</v>
      </c>
      <c r="H512" s="33">
        <v>-9.7176</v>
      </c>
    </row>
    <row r="513">
      <c r="A513" s="31" t="s">
        <v>585</v>
      </c>
      <c r="B513" s="32">
        <v>41980.0</v>
      </c>
      <c r="C513" s="31" t="s">
        <v>11</v>
      </c>
      <c r="D513" s="31" t="s">
        <v>113</v>
      </c>
      <c r="E513" s="31" t="s">
        <v>59</v>
      </c>
      <c r="F513" s="33">
        <v>105.52</v>
      </c>
      <c r="G513" s="33">
        <v>4.0</v>
      </c>
      <c r="H513" s="33">
        <v>48.5392</v>
      </c>
    </row>
    <row r="514">
      <c r="A514" s="31" t="s">
        <v>586</v>
      </c>
      <c r="B514" s="32">
        <v>41728.0</v>
      </c>
      <c r="C514" s="31" t="s">
        <v>38</v>
      </c>
      <c r="D514" s="31" t="s">
        <v>52</v>
      </c>
      <c r="E514" s="31" t="s">
        <v>28</v>
      </c>
      <c r="F514" s="33">
        <v>15.84</v>
      </c>
      <c r="G514" s="33">
        <v>3.0</v>
      </c>
      <c r="H514" s="33">
        <v>0.0</v>
      </c>
    </row>
    <row r="515">
      <c r="A515" s="31" t="s">
        <v>587</v>
      </c>
      <c r="B515" s="32">
        <v>41890.0</v>
      </c>
      <c r="C515" s="31" t="s">
        <v>11</v>
      </c>
      <c r="D515" s="31" t="s">
        <v>41</v>
      </c>
      <c r="E515" s="31" t="s">
        <v>31</v>
      </c>
      <c r="F515" s="33">
        <v>17.904</v>
      </c>
      <c r="G515" s="33">
        <v>2.0</v>
      </c>
      <c r="H515" s="33">
        <v>6.2664</v>
      </c>
    </row>
    <row r="516">
      <c r="A516" s="31" t="s">
        <v>588</v>
      </c>
      <c r="B516" s="34">
        <v>41959.0</v>
      </c>
      <c r="C516" s="31" t="s">
        <v>11</v>
      </c>
      <c r="D516" s="31" t="s">
        <v>49</v>
      </c>
      <c r="E516" s="31" t="s">
        <v>31</v>
      </c>
      <c r="F516" s="33">
        <v>37.296</v>
      </c>
      <c r="G516" s="33">
        <v>2.0</v>
      </c>
      <c r="H516" s="33">
        <v>-1.0656</v>
      </c>
    </row>
    <row r="517">
      <c r="A517" s="31" t="s">
        <v>589</v>
      </c>
      <c r="B517" s="32">
        <v>41903.0</v>
      </c>
      <c r="C517" s="31" t="s">
        <v>47</v>
      </c>
      <c r="D517" s="31" t="s">
        <v>41</v>
      </c>
      <c r="E517" s="31" t="s">
        <v>31</v>
      </c>
      <c r="F517" s="33">
        <v>8.544</v>
      </c>
      <c r="G517" s="33">
        <v>2.0</v>
      </c>
      <c r="H517" s="33">
        <v>-7.476</v>
      </c>
    </row>
    <row r="518">
      <c r="A518" s="31" t="s">
        <v>590</v>
      </c>
      <c r="B518" s="32">
        <v>41645.0</v>
      </c>
      <c r="C518" s="31" t="s">
        <v>11</v>
      </c>
      <c r="D518" s="31" t="s">
        <v>27</v>
      </c>
      <c r="E518" s="31" t="s">
        <v>28</v>
      </c>
      <c r="F518" s="33">
        <v>19.44</v>
      </c>
      <c r="G518" s="33">
        <v>3.0</v>
      </c>
      <c r="H518" s="33">
        <v>9.3312</v>
      </c>
    </row>
    <row r="519">
      <c r="A519" s="31" t="s">
        <v>591</v>
      </c>
      <c r="B519" s="32">
        <v>41877.0</v>
      </c>
      <c r="C519" s="31" t="s">
        <v>11</v>
      </c>
      <c r="D519" s="31" t="s">
        <v>119</v>
      </c>
      <c r="E519" s="31" t="s">
        <v>45</v>
      </c>
      <c r="F519" s="33">
        <v>10.68</v>
      </c>
      <c r="G519" s="33">
        <v>4.0</v>
      </c>
      <c r="H519" s="33">
        <v>4.0584</v>
      </c>
    </row>
    <row r="520">
      <c r="A520" s="31" t="s">
        <v>592</v>
      </c>
      <c r="B520" s="34">
        <v>41964.0</v>
      </c>
      <c r="C520" s="31" t="s">
        <v>38</v>
      </c>
      <c r="D520" s="31" t="s">
        <v>41</v>
      </c>
      <c r="E520" s="31" t="s">
        <v>31</v>
      </c>
      <c r="F520" s="33">
        <v>1.632</v>
      </c>
      <c r="G520" s="33">
        <v>1.0</v>
      </c>
      <c r="H520" s="33">
        <v>0.5508</v>
      </c>
    </row>
    <row r="521">
      <c r="A521" s="31" t="s">
        <v>593</v>
      </c>
      <c r="B521" s="32">
        <v>41772.0</v>
      </c>
      <c r="C521" s="31" t="s">
        <v>38</v>
      </c>
      <c r="D521" s="31" t="s">
        <v>27</v>
      </c>
      <c r="E521" s="31" t="s">
        <v>28</v>
      </c>
      <c r="F521" s="33">
        <v>279.456</v>
      </c>
      <c r="G521" s="33">
        <v>6.0</v>
      </c>
      <c r="H521" s="33">
        <v>20.9592</v>
      </c>
    </row>
    <row r="522">
      <c r="A522" s="31" t="s">
        <v>594</v>
      </c>
      <c r="B522" s="32">
        <v>41856.0</v>
      </c>
      <c r="C522" s="31" t="s">
        <v>11</v>
      </c>
      <c r="D522" s="31" t="s">
        <v>27</v>
      </c>
      <c r="E522" s="31" t="s">
        <v>28</v>
      </c>
      <c r="F522" s="33">
        <v>16.36</v>
      </c>
      <c r="G522" s="33">
        <v>1.0</v>
      </c>
      <c r="H522" s="33">
        <v>1.636</v>
      </c>
    </row>
    <row r="523">
      <c r="A523" s="31" t="s">
        <v>595</v>
      </c>
      <c r="B523" s="32">
        <v>41657.0</v>
      </c>
      <c r="C523" s="31" t="s">
        <v>38</v>
      </c>
      <c r="D523" s="31" t="s">
        <v>211</v>
      </c>
      <c r="E523" s="31" t="s">
        <v>28</v>
      </c>
      <c r="F523" s="33">
        <v>64.864</v>
      </c>
      <c r="G523" s="33">
        <v>4.0</v>
      </c>
      <c r="H523" s="33">
        <v>6.4864</v>
      </c>
    </row>
    <row r="524">
      <c r="A524" s="31" t="s">
        <v>596</v>
      </c>
      <c r="B524" s="32">
        <v>41978.0</v>
      </c>
      <c r="C524" s="31" t="s">
        <v>38</v>
      </c>
      <c r="D524" s="31" t="s">
        <v>77</v>
      </c>
      <c r="E524" s="31" t="s">
        <v>45</v>
      </c>
      <c r="F524" s="33">
        <v>348.488</v>
      </c>
      <c r="G524" s="33">
        <v>7.0</v>
      </c>
      <c r="H524" s="33">
        <v>117.6147</v>
      </c>
    </row>
    <row r="525">
      <c r="A525" s="31" t="s">
        <v>597</v>
      </c>
      <c r="B525" s="34">
        <v>41962.0</v>
      </c>
      <c r="C525" s="31" t="s">
        <v>38</v>
      </c>
      <c r="D525" s="31" t="s">
        <v>119</v>
      </c>
      <c r="E525" s="31" t="s">
        <v>45</v>
      </c>
      <c r="F525" s="33">
        <v>22.5</v>
      </c>
      <c r="G525" s="33">
        <v>6.0</v>
      </c>
      <c r="H525" s="33">
        <v>10.8</v>
      </c>
    </row>
    <row r="526">
      <c r="A526" s="31" t="s">
        <v>598</v>
      </c>
      <c r="B526" s="34">
        <v>41961.0</v>
      </c>
      <c r="C526" s="31" t="s">
        <v>38</v>
      </c>
      <c r="D526" s="31" t="s">
        <v>33</v>
      </c>
      <c r="E526" s="31" t="s">
        <v>28</v>
      </c>
      <c r="F526" s="33">
        <v>21.98</v>
      </c>
      <c r="G526" s="33">
        <v>7.0</v>
      </c>
      <c r="H526" s="33">
        <v>9.891</v>
      </c>
    </row>
    <row r="527">
      <c r="A527" s="31" t="s">
        <v>599</v>
      </c>
      <c r="B527" s="32">
        <v>41918.0</v>
      </c>
      <c r="C527" s="31" t="s">
        <v>38</v>
      </c>
      <c r="D527" s="31" t="s">
        <v>332</v>
      </c>
      <c r="E527" s="31" t="s">
        <v>31</v>
      </c>
      <c r="F527" s="33">
        <v>15.36</v>
      </c>
      <c r="G527" s="33">
        <v>2.0</v>
      </c>
      <c r="H527" s="33">
        <v>7.68</v>
      </c>
    </row>
    <row r="528">
      <c r="A528" s="31" t="s">
        <v>600</v>
      </c>
      <c r="B528" s="32">
        <v>41887.0</v>
      </c>
      <c r="C528" s="31" t="s">
        <v>11</v>
      </c>
      <c r="D528" s="31" t="s">
        <v>75</v>
      </c>
      <c r="E528" s="31" t="s">
        <v>59</v>
      </c>
      <c r="F528" s="33">
        <v>31.984</v>
      </c>
      <c r="G528" s="33">
        <v>2.0</v>
      </c>
      <c r="H528" s="33">
        <v>1.999</v>
      </c>
    </row>
    <row r="529">
      <c r="A529" s="31" t="s">
        <v>601</v>
      </c>
      <c r="B529" s="32">
        <v>41825.0</v>
      </c>
      <c r="C529" s="31" t="s">
        <v>38</v>
      </c>
      <c r="D529" s="31" t="s">
        <v>75</v>
      </c>
      <c r="E529" s="31" t="s">
        <v>59</v>
      </c>
      <c r="F529" s="33">
        <v>19.52</v>
      </c>
      <c r="G529" s="33">
        <v>2.0</v>
      </c>
      <c r="H529" s="33">
        <v>5.368</v>
      </c>
    </row>
    <row r="530">
      <c r="A530" s="31" t="s">
        <v>602</v>
      </c>
      <c r="B530" s="32">
        <v>41894.0</v>
      </c>
      <c r="C530" s="31" t="s">
        <v>47</v>
      </c>
      <c r="D530" s="31" t="s">
        <v>433</v>
      </c>
      <c r="E530" s="31" t="s">
        <v>31</v>
      </c>
      <c r="F530" s="33">
        <v>357.93</v>
      </c>
      <c r="G530" s="33">
        <v>3.0</v>
      </c>
      <c r="H530" s="33">
        <v>7.1586</v>
      </c>
    </row>
    <row r="531">
      <c r="A531" s="31" t="s">
        <v>603</v>
      </c>
      <c r="B531" s="32">
        <v>41719.0</v>
      </c>
      <c r="C531" s="31" t="s">
        <v>38</v>
      </c>
      <c r="D531" s="31" t="s">
        <v>65</v>
      </c>
      <c r="E531" s="31" t="s">
        <v>59</v>
      </c>
      <c r="F531" s="33">
        <v>16.272</v>
      </c>
      <c r="G531" s="33">
        <v>1.0</v>
      </c>
      <c r="H531" s="33">
        <v>-3.8646</v>
      </c>
    </row>
    <row r="532">
      <c r="A532" s="31" t="s">
        <v>604</v>
      </c>
      <c r="B532" s="32">
        <v>41658.0</v>
      </c>
      <c r="C532" s="31" t="s">
        <v>11</v>
      </c>
      <c r="D532" s="31" t="s">
        <v>39</v>
      </c>
      <c r="E532" s="31" t="s">
        <v>28</v>
      </c>
      <c r="F532" s="33">
        <v>32.34</v>
      </c>
      <c r="G532" s="33">
        <v>10.0</v>
      </c>
      <c r="H532" s="33">
        <v>-23.716</v>
      </c>
    </row>
    <row r="533">
      <c r="A533" s="31" t="s">
        <v>605</v>
      </c>
      <c r="B533" s="32">
        <v>41684.0</v>
      </c>
      <c r="C533" s="31" t="s">
        <v>11</v>
      </c>
      <c r="D533" s="31" t="s">
        <v>41</v>
      </c>
      <c r="E533" s="31" t="s">
        <v>31</v>
      </c>
      <c r="F533" s="33">
        <v>16.176</v>
      </c>
      <c r="G533" s="33">
        <v>3.0</v>
      </c>
      <c r="H533" s="33">
        <v>6.066</v>
      </c>
    </row>
    <row r="534">
      <c r="A534" s="31" t="s">
        <v>606</v>
      </c>
      <c r="B534" s="32">
        <v>41908.0</v>
      </c>
      <c r="C534" s="31" t="s">
        <v>47</v>
      </c>
      <c r="D534" s="31" t="s">
        <v>27</v>
      </c>
      <c r="E534" s="31" t="s">
        <v>28</v>
      </c>
      <c r="F534" s="33">
        <v>585.552</v>
      </c>
      <c r="G534" s="33">
        <v>3.0</v>
      </c>
      <c r="H534" s="33">
        <v>73.194</v>
      </c>
    </row>
    <row r="535">
      <c r="A535" s="31" t="s">
        <v>607</v>
      </c>
      <c r="B535" s="32">
        <v>41729.0</v>
      </c>
      <c r="C535" s="31" t="s">
        <v>38</v>
      </c>
      <c r="D535" s="31" t="s">
        <v>75</v>
      </c>
      <c r="E535" s="31" t="s">
        <v>59</v>
      </c>
      <c r="F535" s="33">
        <v>1.869</v>
      </c>
      <c r="G535" s="33">
        <v>1.0</v>
      </c>
      <c r="H535" s="33">
        <v>-1.3083</v>
      </c>
    </row>
    <row r="536">
      <c r="A536" s="31" t="s">
        <v>608</v>
      </c>
      <c r="B536" s="34">
        <v>41985.0</v>
      </c>
      <c r="C536" s="31" t="s">
        <v>11</v>
      </c>
      <c r="D536" s="31" t="s">
        <v>75</v>
      </c>
      <c r="E536" s="31" t="s">
        <v>59</v>
      </c>
      <c r="F536" s="33">
        <v>23.472</v>
      </c>
      <c r="G536" s="33">
        <v>3.0</v>
      </c>
      <c r="H536" s="33">
        <v>7.6284</v>
      </c>
    </row>
    <row r="537">
      <c r="A537" s="31" t="s">
        <v>609</v>
      </c>
      <c r="B537" s="34">
        <v>41971.0</v>
      </c>
      <c r="C537" s="31" t="s">
        <v>47</v>
      </c>
      <c r="D537" s="31" t="s">
        <v>27</v>
      </c>
      <c r="E537" s="31" t="s">
        <v>28</v>
      </c>
      <c r="F537" s="33">
        <v>7.36</v>
      </c>
      <c r="G537" s="33">
        <v>2.0</v>
      </c>
      <c r="H537" s="33">
        <v>0.1472</v>
      </c>
    </row>
    <row r="538">
      <c r="A538" s="31" t="s">
        <v>610</v>
      </c>
      <c r="B538" s="32">
        <v>41694.0</v>
      </c>
      <c r="C538" s="31" t="s">
        <v>11</v>
      </c>
      <c r="D538" s="31" t="s">
        <v>211</v>
      </c>
      <c r="E538" s="31" t="s">
        <v>28</v>
      </c>
      <c r="F538" s="33">
        <v>32.896</v>
      </c>
      <c r="G538" s="33">
        <v>4.0</v>
      </c>
      <c r="H538" s="33">
        <v>11.1024</v>
      </c>
    </row>
    <row r="539">
      <c r="A539" s="31" t="s">
        <v>611</v>
      </c>
      <c r="B539" s="34">
        <v>41971.0</v>
      </c>
      <c r="C539" s="31" t="s">
        <v>11</v>
      </c>
      <c r="D539" s="31" t="s">
        <v>27</v>
      </c>
      <c r="E539" s="31" t="s">
        <v>28</v>
      </c>
      <c r="F539" s="33">
        <v>43.68</v>
      </c>
      <c r="G539" s="33">
        <v>3.0</v>
      </c>
      <c r="H539" s="33">
        <v>11.7936</v>
      </c>
    </row>
    <row r="540">
      <c r="A540" s="31" t="s">
        <v>612</v>
      </c>
      <c r="B540" s="34">
        <v>41955.0</v>
      </c>
      <c r="C540" s="31" t="s">
        <v>38</v>
      </c>
      <c r="D540" s="31" t="s">
        <v>41</v>
      </c>
      <c r="E540" s="31" t="s">
        <v>31</v>
      </c>
      <c r="F540" s="33">
        <v>2.672</v>
      </c>
      <c r="G540" s="33">
        <v>1.0</v>
      </c>
      <c r="H540" s="33">
        <v>0.334</v>
      </c>
    </row>
    <row r="541">
      <c r="A541" s="31" t="s">
        <v>613</v>
      </c>
      <c r="B541" s="32">
        <v>41978.0</v>
      </c>
      <c r="C541" s="31" t="s">
        <v>38</v>
      </c>
      <c r="D541" s="31" t="s">
        <v>44</v>
      </c>
      <c r="E541" s="31" t="s">
        <v>45</v>
      </c>
      <c r="F541" s="33">
        <v>98.376</v>
      </c>
      <c r="G541" s="33">
        <v>3.0</v>
      </c>
      <c r="H541" s="33">
        <v>35.6613</v>
      </c>
    </row>
    <row r="542">
      <c r="A542" s="31" t="s">
        <v>614</v>
      </c>
      <c r="B542" s="34">
        <v>41988.0</v>
      </c>
      <c r="C542" s="31" t="s">
        <v>11</v>
      </c>
      <c r="D542" s="31" t="s">
        <v>27</v>
      </c>
      <c r="E542" s="31" t="s">
        <v>28</v>
      </c>
      <c r="F542" s="33">
        <v>6.16</v>
      </c>
      <c r="G542" s="33">
        <v>2.0</v>
      </c>
      <c r="H542" s="33">
        <v>1.9712</v>
      </c>
    </row>
    <row r="543">
      <c r="A543" s="31" t="s">
        <v>615</v>
      </c>
      <c r="B543" s="32">
        <v>41839.0</v>
      </c>
      <c r="C543" s="31" t="s">
        <v>47</v>
      </c>
      <c r="D543" s="31" t="s">
        <v>354</v>
      </c>
      <c r="E543" s="31" t="s">
        <v>28</v>
      </c>
      <c r="F543" s="33">
        <v>6.096</v>
      </c>
      <c r="G543" s="33">
        <v>2.0</v>
      </c>
      <c r="H543" s="33">
        <v>2.2098</v>
      </c>
    </row>
    <row r="544">
      <c r="A544" s="31" t="s">
        <v>616</v>
      </c>
      <c r="B544" s="34">
        <v>41925.0</v>
      </c>
      <c r="C544" s="31" t="s">
        <v>38</v>
      </c>
      <c r="D544" s="31" t="s">
        <v>72</v>
      </c>
      <c r="E544" s="31" t="s">
        <v>45</v>
      </c>
      <c r="F544" s="33">
        <v>245.98</v>
      </c>
      <c r="G544" s="33">
        <v>2.0</v>
      </c>
      <c r="H544" s="33">
        <v>27.0578</v>
      </c>
    </row>
    <row r="545">
      <c r="A545" s="31" t="s">
        <v>617</v>
      </c>
      <c r="B545" s="32">
        <v>41915.0</v>
      </c>
      <c r="C545" s="31" t="s">
        <v>11</v>
      </c>
      <c r="D545" s="31" t="s">
        <v>44</v>
      </c>
      <c r="E545" s="31" t="s">
        <v>45</v>
      </c>
      <c r="F545" s="33">
        <v>55.984</v>
      </c>
      <c r="G545" s="33">
        <v>2.0</v>
      </c>
      <c r="H545" s="33">
        <v>4.1988</v>
      </c>
    </row>
    <row r="546">
      <c r="A546" s="31" t="s">
        <v>618</v>
      </c>
      <c r="B546" s="32">
        <v>41911.0</v>
      </c>
      <c r="C546" s="31" t="s">
        <v>47</v>
      </c>
      <c r="D546" s="31" t="s">
        <v>52</v>
      </c>
      <c r="E546" s="31" t="s">
        <v>28</v>
      </c>
      <c r="F546" s="33">
        <v>6.16</v>
      </c>
      <c r="G546" s="33">
        <v>2.0</v>
      </c>
      <c r="H546" s="33">
        <v>2.9568</v>
      </c>
    </row>
    <row r="547">
      <c r="A547" s="31" t="s">
        <v>619</v>
      </c>
      <c r="B547" s="32">
        <v>41681.0</v>
      </c>
      <c r="C547" s="31" t="s">
        <v>11</v>
      </c>
      <c r="D547" s="31" t="s">
        <v>113</v>
      </c>
      <c r="E547" s="31" t="s">
        <v>59</v>
      </c>
      <c r="F547" s="33">
        <v>234.45</v>
      </c>
      <c r="G547" s="33">
        <v>3.0</v>
      </c>
      <c r="H547" s="33">
        <v>103.158</v>
      </c>
    </row>
    <row r="548">
      <c r="A548" s="31" t="s">
        <v>620</v>
      </c>
      <c r="B548" s="34">
        <v>41994.0</v>
      </c>
      <c r="C548" s="31" t="s">
        <v>11</v>
      </c>
      <c r="D548" s="31" t="s">
        <v>27</v>
      </c>
      <c r="E548" s="31" t="s">
        <v>28</v>
      </c>
      <c r="F548" s="33">
        <v>1325.76</v>
      </c>
      <c r="G548" s="33">
        <v>6.0</v>
      </c>
      <c r="H548" s="33">
        <v>149.148</v>
      </c>
    </row>
    <row r="549">
      <c r="A549" s="31" t="s">
        <v>621</v>
      </c>
      <c r="B549" s="32">
        <v>41905.0</v>
      </c>
      <c r="C549" s="31" t="s">
        <v>47</v>
      </c>
      <c r="D549" s="31" t="s">
        <v>44</v>
      </c>
      <c r="E549" s="31" t="s">
        <v>45</v>
      </c>
      <c r="F549" s="33">
        <v>28.8</v>
      </c>
      <c r="G549" s="33">
        <v>9.0</v>
      </c>
      <c r="H549" s="33">
        <v>10.08</v>
      </c>
    </row>
    <row r="550">
      <c r="A550" s="31" t="s">
        <v>622</v>
      </c>
      <c r="B550" s="32">
        <v>41947.0</v>
      </c>
      <c r="C550" s="31" t="s">
        <v>38</v>
      </c>
      <c r="D550" s="31" t="s">
        <v>27</v>
      </c>
      <c r="E550" s="31" t="s">
        <v>28</v>
      </c>
      <c r="F550" s="33">
        <v>2.94</v>
      </c>
      <c r="G550" s="33">
        <v>1.0</v>
      </c>
      <c r="H550" s="33">
        <v>0.7938</v>
      </c>
    </row>
    <row r="551">
      <c r="A551" s="31" t="s">
        <v>623</v>
      </c>
      <c r="B551" s="32">
        <v>41787.0</v>
      </c>
      <c r="C551" s="31" t="s">
        <v>38</v>
      </c>
      <c r="D551" s="31" t="s">
        <v>52</v>
      </c>
      <c r="E551" s="31" t="s">
        <v>28</v>
      </c>
      <c r="F551" s="33">
        <v>57.408</v>
      </c>
      <c r="G551" s="33">
        <v>6.0</v>
      </c>
      <c r="H551" s="33">
        <v>5.7408</v>
      </c>
    </row>
    <row r="552">
      <c r="A552" s="31" t="s">
        <v>624</v>
      </c>
      <c r="B552" s="34">
        <v>42002.0</v>
      </c>
      <c r="C552" s="31" t="s">
        <v>11</v>
      </c>
      <c r="D552" s="31" t="s">
        <v>49</v>
      </c>
      <c r="E552" s="31" t="s">
        <v>31</v>
      </c>
      <c r="F552" s="33">
        <v>38.976</v>
      </c>
      <c r="G552" s="33">
        <v>3.0</v>
      </c>
      <c r="H552" s="33">
        <v>-50.6688</v>
      </c>
    </row>
    <row r="553">
      <c r="A553" s="31" t="s">
        <v>625</v>
      </c>
      <c r="B553" s="32">
        <v>41731.0</v>
      </c>
      <c r="C553" s="31" t="s">
        <v>11</v>
      </c>
      <c r="D553" s="31" t="s">
        <v>173</v>
      </c>
      <c r="E553" s="31" t="s">
        <v>59</v>
      </c>
      <c r="F553" s="33">
        <v>15.84</v>
      </c>
      <c r="G553" s="33">
        <v>3.0</v>
      </c>
      <c r="H553" s="33">
        <v>7.128</v>
      </c>
    </row>
    <row r="554">
      <c r="A554" s="31" t="s">
        <v>626</v>
      </c>
      <c r="B554" s="32">
        <v>41848.0</v>
      </c>
      <c r="C554" s="31" t="s">
        <v>11</v>
      </c>
      <c r="D554" s="31" t="s">
        <v>75</v>
      </c>
      <c r="E554" s="31" t="s">
        <v>59</v>
      </c>
      <c r="F554" s="33">
        <v>14.32</v>
      </c>
      <c r="G554" s="33">
        <v>5.0</v>
      </c>
      <c r="H554" s="33">
        <v>5.191</v>
      </c>
    </row>
    <row r="555">
      <c r="A555" s="31" t="s">
        <v>627</v>
      </c>
      <c r="B555" s="34">
        <v>41987.0</v>
      </c>
      <c r="C555" s="31" t="s">
        <v>11</v>
      </c>
      <c r="D555" s="31" t="s">
        <v>44</v>
      </c>
      <c r="E555" s="31" t="s">
        <v>45</v>
      </c>
      <c r="F555" s="33">
        <v>2.624</v>
      </c>
      <c r="G555" s="33">
        <v>1.0</v>
      </c>
      <c r="H555" s="33">
        <v>0.2952</v>
      </c>
    </row>
    <row r="556">
      <c r="A556" s="31" t="s">
        <v>628</v>
      </c>
      <c r="B556" s="32">
        <v>41946.0</v>
      </c>
      <c r="C556" s="31" t="s">
        <v>11</v>
      </c>
      <c r="D556" s="31" t="s">
        <v>192</v>
      </c>
      <c r="E556" s="31" t="s">
        <v>45</v>
      </c>
      <c r="F556" s="33">
        <v>11.64</v>
      </c>
      <c r="G556" s="33">
        <v>3.0</v>
      </c>
      <c r="H556" s="33">
        <v>3.3756</v>
      </c>
    </row>
    <row r="557">
      <c r="A557" s="31" t="s">
        <v>629</v>
      </c>
      <c r="B557" s="32">
        <v>41699.0</v>
      </c>
      <c r="C557" s="31" t="s">
        <v>47</v>
      </c>
      <c r="D557" s="31" t="s">
        <v>79</v>
      </c>
      <c r="E557" s="31" t="s">
        <v>45</v>
      </c>
      <c r="F557" s="33">
        <v>5.94</v>
      </c>
      <c r="G557" s="33">
        <v>3.0</v>
      </c>
      <c r="H557" s="33">
        <v>1.6038</v>
      </c>
    </row>
    <row r="558">
      <c r="A558" s="31" t="s">
        <v>630</v>
      </c>
      <c r="B558" s="32">
        <v>41904.0</v>
      </c>
      <c r="C558" s="31" t="s">
        <v>38</v>
      </c>
      <c r="D558" s="31" t="s">
        <v>49</v>
      </c>
      <c r="E558" s="31" t="s">
        <v>31</v>
      </c>
      <c r="F558" s="33">
        <v>331.536</v>
      </c>
      <c r="G558" s="33">
        <v>3.0</v>
      </c>
      <c r="H558" s="33">
        <v>-82.884</v>
      </c>
    </row>
    <row r="559">
      <c r="A559" s="31" t="s">
        <v>631</v>
      </c>
      <c r="B559" s="32">
        <v>41819.0</v>
      </c>
      <c r="C559" s="31" t="s">
        <v>11</v>
      </c>
      <c r="D559" s="31" t="s">
        <v>79</v>
      </c>
      <c r="E559" s="31" t="s">
        <v>45</v>
      </c>
      <c r="F559" s="33">
        <v>13.92</v>
      </c>
      <c r="G559" s="33">
        <v>3.0</v>
      </c>
      <c r="H559" s="33">
        <v>4.872</v>
      </c>
    </row>
    <row r="560">
      <c r="A560" s="31" t="s">
        <v>632</v>
      </c>
      <c r="B560" s="32">
        <v>41659.0</v>
      </c>
      <c r="C560" s="31" t="s">
        <v>11</v>
      </c>
      <c r="D560" s="31" t="s">
        <v>27</v>
      </c>
      <c r="E560" s="31" t="s">
        <v>28</v>
      </c>
      <c r="F560" s="33">
        <v>19.36</v>
      </c>
      <c r="G560" s="33">
        <v>2.0</v>
      </c>
      <c r="H560" s="33">
        <v>9.2928</v>
      </c>
    </row>
    <row r="561">
      <c r="A561" s="31" t="s">
        <v>633</v>
      </c>
      <c r="B561" s="32">
        <v>41789.0</v>
      </c>
      <c r="C561" s="31" t="s">
        <v>11</v>
      </c>
      <c r="D561" s="31" t="s">
        <v>49</v>
      </c>
      <c r="E561" s="31" t="s">
        <v>31</v>
      </c>
      <c r="F561" s="33">
        <v>355.455</v>
      </c>
      <c r="G561" s="33">
        <v>3.0</v>
      </c>
      <c r="H561" s="33">
        <v>-184.8366</v>
      </c>
    </row>
    <row r="562">
      <c r="A562" s="31" t="s">
        <v>634</v>
      </c>
      <c r="B562" s="34">
        <v>41926.0</v>
      </c>
      <c r="C562" s="31" t="s">
        <v>11</v>
      </c>
      <c r="D562" s="31" t="s">
        <v>41</v>
      </c>
      <c r="E562" s="31" t="s">
        <v>31</v>
      </c>
      <c r="F562" s="33">
        <v>3.16</v>
      </c>
      <c r="G562" s="33">
        <v>4.0</v>
      </c>
      <c r="H562" s="33">
        <v>-8.532</v>
      </c>
    </row>
    <row r="563">
      <c r="A563" s="31" t="s">
        <v>635</v>
      </c>
      <c r="B563" s="32">
        <v>41951.0</v>
      </c>
      <c r="C563" s="31" t="s">
        <v>11</v>
      </c>
      <c r="D563" s="31" t="s">
        <v>27</v>
      </c>
      <c r="E563" s="31" t="s">
        <v>28</v>
      </c>
      <c r="F563" s="33">
        <v>333.576</v>
      </c>
      <c r="G563" s="33">
        <v>3.0</v>
      </c>
      <c r="H563" s="33">
        <v>25.0182</v>
      </c>
    </row>
    <row r="564">
      <c r="A564" s="31" t="s">
        <v>636</v>
      </c>
      <c r="B564" s="34">
        <v>41954.0</v>
      </c>
      <c r="C564" s="31" t="s">
        <v>11</v>
      </c>
      <c r="D564" s="31" t="s">
        <v>27</v>
      </c>
      <c r="E564" s="31" t="s">
        <v>28</v>
      </c>
      <c r="F564" s="33">
        <v>30.48</v>
      </c>
      <c r="G564" s="33">
        <v>3.0</v>
      </c>
      <c r="H564" s="33">
        <v>7.9248</v>
      </c>
    </row>
    <row r="565">
      <c r="A565" s="31" t="s">
        <v>637</v>
      </c>
      <c r="B565" s="32">
        <v>41911.0</v>
      </c>
      <c r="C565" s="31" t="s">
        <v>11</v>
      </c>
      <c r="D565" s="31" t="s">
        <v>79</v>
      </c>
      <c r="E565" s="31" t="s">
        <v>45</v>
      </c>
      <c r="F565" s="33">
        <v>1395.54</v>
      </c>
      <c r="G565" s="33">
        <v>9.0</v>
      </c>
      <c r="H565" s="33">
        <v>362.8404</v>
      </c>
    </row>
    <row r="566">
      <c r="A566" s="31" t="s">
        <v>638</v>
      </c>
      <c r="B566" s="32">
        <v>41871.0</v>
      </c>
      <c r="C566" s="31" t="s">
        <v>11</v>
      </c>
      <c r="D566" s="31" t="s">
        <v>49</v>
      </c>
      <c r="E566" s="31" t="s">
        <v>31</v>
      </c>
      <c r="F566" s="33">
        <v>421.372</v>
      </c>
      <c r="G566" s="33">
        <v>2.0</v>
      </c>
      <c r="H566" s="33">
        <v>-6.0196</v>
      </c>
    </row>
    <row r="567">
      <c r="A567" s="31" t="s">
        <v>639</v>
      </c>
      <c r="B567" s="32">
        <v>41831.0</v>
      </c>
      <c r="C567" s="31" t="s">
        <v>11</v>
      </c>
      <c r="D567" s="31" t="s">
        <v>41</v>
      </c>
      <c r="E567" s="31" t="s">
        <v>31</v>
      </c>
      <c r="F567" s="33">
        <v>575.968</v>
      </c>
      <c r="G567" s="33">
        <v>4.0</v>
      </c>
      <c r="H567" s="33">
        <v>43.1976</v>
      </c>
    </row>
    <row r="568">
      <c r="A568" s="31" t="s">
        <v>640</v>
      </c>
      <c r="B568" s="34">
        <v>41969.0</v>
      </c>
      <c r="C568" s="31" t="s">
        <v>11</v>
      </c>
      <c r="D568" s="31" t="s">
        <v>79</v>
      </c>
      <c r="E568" s="31" t="s">
        <v>45</v>
      </c>
      <c r="F568" s="33">
        <v>279.96</v>
      </c>
      <c r="G568" s="33">
        <v>4.0</v>
      </c>
      <c r="H568" s="33">
        <v>78.3888</v>
      </c>
    </row>
    <row r="569">
      <c r="A569" s="31" t="s">
        <v>641</v>
      </c>
      <c r="B569" s="32">
        <v>41761.0</v>
      </c>
      <c r="C569" s="31" t="s">
        <v>11</v>
      </c>
      <c r="D569" s="31" t="s">
        <v>44</v>
      </c>
      <c r="E569" s="31" t="s">
        <v>45</v>
      </c>
      <c r="F569" s="33">
        <v>26.136</v>
      </c>
      <c r="G569" s="33">
        <v>3.0</v>
      </c>
      <c r="H569" s="33">
        <v>1.9602</v>
      </c>
    </row>
    <row r="570">
      <c r="A570" s="31" t="s">
        <v>642</v>
      </c>
      <c r="B570" s="32">
        <v>41892.0</v>
      </c>
      <c r="C570" s="31" t="s">
        <v>47</v>
      </c>
      <c r="D570" s="31" t="s">
        <v>113</v>
      </c>
      <c r="E570" s="31" t="s">
        <v>59</v>
      </c>
      <c r="F570" s="33">
        <v>9.64</v>
      </c>
      <c r="G570" s="33">
        <v>2.0</v>
      </c>
      <c r="H570" s="33">
        <v>4.7236</v>
      </c>
    </row>
    <row r="571">
      <c r="A571" s="31" t="s">
        <v>643</v>
      </c>
      <c r="B571" s="32">
        <v>41856.0</v>
      </c>
      <c r="C571" s="31" t="s">
        <v>38</v>
      </c>
      <c r="D571" s="31" t="s">
        <v>192</v>
      </c>
      <c r="E571" s="31" t="s">
        <v>45</v>
      </c>
      <c r="F571" s="33">
        <v>79.47</v>
      </c>
      <c r="G571" s="33">
        <v>3.0</v>
      </c>
      <c r="H571" s="33">
        <v>22.2516</v>
      </c>
    </row>
    <row r="572">
      <c r="A572" s="31" t="s">
        <v>644</v>
      </c>
      <c r="B572" s="32">
        <v>41780.0</v>
      </c>
      <c r="C572" s="31" t="s">
        <v>47</v>
      </c>
      <c r="D572" s="31" t="s">
        <v>176</v>
      </c>
      <c r="E572" s="31" t="s">
        <v>45</v>
      </c>
      <c r="F572" s="33">
        <v>447.86</v>
      </c>
      <c r="G572" s="33">
        <v>7.0</v>
      </c>
      <c r="H572" s="33">
        <v>219.4514</v>
      </c>
    </row>
    <row r="573">
      <c r="A573" s="31" t="s">
        <v>645</v>
      </c>
      <c r="B573" s="34">
        <v>41928.0</v>
      </c>
      <c r="C573" s="31" t="s">
        <v>11</v>
      </c>
      <c r="D573" s="31" t="s">
        <v>27</v>
      </c>
      <c r="E573" s="31" t="s">
        <v>28</v>
      </c>
      <c r="F573" s="33">
        <v>14.352</v>
      </c>
      <c r="G573" s="33">
        <v>3.0</v>
      </c>
      <c r="H573" s="33">
        <v>5.0232</v>
      </c>
    </row>
    <row r="574">
      <c r="A574" s="31" t="s">
        <v>646</v>
      </c>
      <c r="B574" s="32">
        <v>41944.0</v>
      </c>
      <c r="C574" s="31" t="s">
        <v>47</v>
      </c>
      <c r="D574" s="31" t="s">
        <v>27</v>
      </c>
      <c r="E574" s="31" t="s">
        <v>28</v>
      </c>
      <c r="F574" s="33">
        <v>44.4</v>
      </c>
      <c r="G574" s="33">
        <v>3.0</v>
      </c>
      <c r="H574" s="33">
        <v>22.2</v>
      </c>
    </row>
    <row r="575">
      <c r="A575" s="31" t="s">
        <v>647</v>
      </c>
      <c r="B575" s="32">
        <v>41875.0</v>
      </c>
      <c r="C575" s="31" t="s">
        <v>38</v>
      </c>
      <c r="D575" s="31" t="s">
        <v>401</v>
      </c>
      <c r="E575" s="31" t="s">
        <v>59</v>
      </c>
      <c r="F575" s="33">
        <v>25.5</v>
      </c>
      <c r="G575" s="33">
        <v>3.0</v>
      </c>
      <c r="H575" s="33">
        <v>6.63</v>
      </c>
    </row>
    <row r="576">
      <c r="A576" s="31" t="s">
        <v>648</v>
      </c>
      <c r="B576" s="32">
        <v>41737.0</v>
      </c>
      <c r="C576" s="31" t="s">
        <v>38</v>
      </c>
      <c r="D576" s="31" t="s">
        <v>189</v>
      </c>
      <c r="E576" s="31" t="s">
        <v>59</v>
      </c>
      <c r="F576" s="33">
        <v>1215.92</v>
      </c>
      <c r="G576" s="33">
        <v>8.0</v>
      </c>
      <c r="H576" s="33">
        <v>316.1392</v>
      </c>
    </row>
    <row r="577">
      <c r="A577" s="31" t="s">
        <v>649</v>
      </c>
      <c r="B577" s="34">
        <v>41923.0</v>
      </c>
      <c r="C577" s="31" t="s">
        <v>38</v>
      </c>
      <c r="D577" s="31" t="s">
        <v>157</v>
      </c>
      <c r="E577" s="31" t="s">
        <v>59</v>
      </c>
      <c r="F577" s="33">
        <v>7.31</v>
      </c>
      <c r="G577" s="33">
        <v>1.0</v>
      </c>
      <c r="H577" s="33">
        <v>3.4357</v>
      </c>
    </row>
    <row r="578">
      <c r="A578" s="31" t="s">
        <v>650</v>
      </c>
      <c r="B578" s="32">
        <v>41876.0</v>
      </c>
      <c r="C578" s="31" t="s">
        <v>38</v>
      </c>
      <c r="D578" s="31" t="s">
        <v>27</v>
      </c>
      <c r="E578" s="31" t="s">
        <v>28</v>
      </c>
      <c r="F578" s="33">
        <v>6.28</v>
      </c>
      <c r="G578" s="33">
        <v>1.0</v>
      </c>
      <c r="H578" s="33">
        <v>2.6376</v>
      </c>
    </row>
    <row r="579">
      <c r="A579" s="31" t="s">
        <v>651</v>
      </c>
      <c r="B579" s="32">
        <v>41728.0</v>
      </c>
      <c r="C579" s="31" t="s">
        <v>38</v>
      </c>
      <c r="D579" s="31" t="s">
        <v>79</v>
      </c>
      <c r="E579" s="31" t="s">
        <v>45</v>
      </c>
      <c r="F579" s="33">
        <v>10.5</v>
      </c>
      <c r="G579" s="33">
        <v>5.0</v>
      </c>
      <c r="H579" s="33">
        <v>2.94</v>
      </c>
    </row>
    <row r="580">
      <c r="A580" s="31" t="s">
        <v>652</v>
      </c>
      <c r="B580" s="34">
        <v>41954.0</v>
      </c>
      <c r="C580" s="31" t="s">
        <v>38</v>
      </c>
      <c r="D580" s="31" t="s">
        <v>77</v>
      </c>
      <c r="E580" s="31" t="s">
        <v>45</v>
      </c>
      <c r="F580" s="33">
        <v>23.968</v>
      </c>
      <c r="G580" s="33">
        <v>2.0</v>
      </c>
      <c r="H580" s="33">
        <v>7.7896</v>
      </c>
    </row>
    <row r="581">
      <c r="A581" s="31" t="s">
        <v>653</v>
      </c>
      <c r="B581" s="34">
        <v>41954.0</v>
      </c>
      <c r="C581" s="31" t="s">
        <v>47</v>
      </c>
      <c r="D581" s="31" t="s">
        <v>27</v>
      </c>
      <c r="E581" s="31" t="s">
        <v>28</v>
      </c>
      <c r="F581" s="33">
        <v>575.928</v>
      </c>
      <c r="G581" s="33">
        <v>9.0</v>
      </c>
      <c r="H581" s="33">
        <v>57.5928</v>
      </c>
    </row>
    <row r="582">
      <c r="A582" s="31" t="s">
        <v>654</v>
      </c>
      <c r="B582" s="32">
        <v>41840.0</v>
      </c>
      <c r="C582" s="31" t="s">
        <v>11</v>
      </c>
      <c r="D582" s="31" t="s">
        <v>27</v>
      </c>
      <c r="E582" s="31" t="s">
        <v>28</v>
      </c>
      <c r="F582" s="33">
        <v>104.85</v>
      </c>
      <c r="G582" s="33">
        <v>1.0</v>
      </c>
      <c r="H582" s="33">
        <v>50.328</v>
      </c>
    </row>
    <row r="583">
      <c r="A583" s="31" t="s">
        <v>655</v>
      </c>
      <c r="B583" s="32">
        <v>41889.0</v>
      </c>
      <c r="C583" s="31" t="s">
        <v>47</v>
      </c>
      <c r="D583" s="31" t="s">
        <v>248</v>
      </c>
      <c r="E583" s="31" t="s">
        <v>31</v>
      </c>
      <c r="F583" s="33">
        <v>429.9</v>
      </c>
      <c r="G583" s="33">
        <v>5.0</v>
      </c>
      <c r="H583" s="33">
        <v>111.774</v>
      </c>
    </row>
    <row r="584">
      <c r="A584" s="31" t="s">
        <v>656</v>
      </c>
      <c r="B584" s="34">
        <v>41983.0</v>
      </c>
      <c r="C584" s="31" t="s">
        <v>38</v>
      </c>
      <c r="D584" s="31" t="s">
        <v>518</v>
      </c>
      <c r="E584" s="31" t="s">
        <v>28</v>
      </c>
      <c r="F584" s="33">
        <v>338.352</v>
      </c>
      <c r="G584" s="33">
        <v>3.0</v>
      </c>
      <c r="H584" s="33">
        <v>4.2294</v>
      </c>
    </row>
    <row r="585">
      <c r="A585" s="31" t="s">
        <v>657</v>
      </c>
      <c r="B585" s="34">
        <v>41986.0</v>
      </c>
      <c r="C585" s="31" t="s">
        <v>38</v>
      </c>
      <c r="D585" s="31" t="s">
        <v>39</v>
      </c>
      <c r="E585" s="31" t="s">
        <v>28</v>
      </c>
      <c r="F585" s="33">
        <v>87.96</v>
      </c>
      <c r="G585" s="33">
        <v>3.0</v>
      </c>
      <c r="H585" s="33">
        <v>7.6965</v>
      </c>
    </row>
    <row r="586">
      <c r="A586" s="31" t="s">
        <v>658</v>
      </c>
      <c r="B586" s="32">
        <v>41735.0</v>
      </c>
      <c r="C586" s="31" t="s">
        <v>38</v>
      </c>
      <c r="D586" s="31" t="s">
        <v>27</v>
      </c>
      <c r="E586" s="31" t="s">
        <v>28</v>
      </c>
      <c r="F586" s="33">
        <v>91.96</v>
      </c>
      <c r="G586" s="33">
        <v>2.0</v>
      </c>
      <c r="H586" s="33">
        <v>15.6332</v>
      </c>
    </row>
    <row r="587">
      <c r="A587" s="31" t="s">
        <v>659</v>
      </c>
      <c r="B587" s="32">
        <v>41917.0</v>
      </c>
      <c r="C587" s="31" t="s">
        <v>11</v>
      </c>
      <c r="D587" s="31" t="s">
        <v>44</v>
      </c>
      <c r="E587" s="31" t="s">
        <v>45</v>
      </c>
      <c r="F587" s="33">
        <v>91.92</v>
      </c>
      <c r="G587" s="33">
        <v>5.0</v>
      </c>
      <c r="H587" s="33">
        <v>11.49</v>
      </c>
    </row>
    <row r="588">
      <c r="A588" s="31" t="s">
        <v>660</v>
      </c>
      <c r="B588" s="34">
        <v>41960.0</v>
      </c>
      <c r="C588" s="31" t="s">
        <v>11</v>
      </c>
      <c r="D588" s="31" t="s">
        <v>41</v>
      </c>
      <c r="E588" s="31" t="s">
        <v>31</v>
      </c>
      <c r="F588" s="33">
        <v>7.08</v>
      </c>
      <c r="G588" s="33">
        <v>3.0</v>
      </c>
      <c r="H588" s="33">
        <v>2.478</v>
      </c>
    </row>
    <row r="589">
      <c r="A589" s="31" t="s">
        <v>661</v>
      </c>
      <c r="B589" s="32">
        <v>41700.0</v>
      </c>
      <c r="C589" s="31" t="s">
        <v>47</v>
      </c>
      <c r="D589" s="31" t="s">
        <v>79</v>
      </c>
      <c r="E589" s="31" t="s">
        <v>45</v>
      </c>
      <c r="F589" s="33">
        <v>11.36</v>
      </c>
      <c r="G589" s="33">
        <v>2.0</v>
      </c>
      <c r="H589" s="33">
        <v>5.3392</v>
      </c>
    </row>
    <row r="590">
      <c r="A590" s="31" t="s">
        <v>662</v>
      </c>
      <c r="B590" s="34">
        <v>42003.0</v>
      </c>
      <c r="C590" s="31" t="s">
        <v>11</v>
      </c>
      <c r="D590" s="31" t="s">
        <v>77</v>
      </c>
      <c r="E590" s="31" t="s">
        <v>45</v>
      </c>
      <c r="F590" s="33">
        <v>27.968</v>
      </c>
      <c r="G590" s="33">
        <v>2.0</v>
      </c>
      <c r="H590" s="33">
        <v>6.992</v>
      </c>
    </row>
    <row r="591">
      <c r="A591" s="31" t="s">
        <v>663</v>
      </c>
      <c r="B591" s="32">
        <v>41688.0</v>
      </c>
      <c r="C591" s="31" t="s">
        <v>11</v>
      </c>
      <c r="D591" s="31" t="s">
        <v>41</v>
      </c>
      <c r="E591" s="31" t="s">
        <v>31</v>
      </c>
      <c r="F591" s="33">
        <v>25.16</v>
      </c>
      <c r="G591" s="33">
        <v>5.0</v>
      </c>
      <c r="H591" s="33">
        <v>-11.322</v>
      </c>
    </row>
    <row r="592">
      <c r="A592" s="31" t="s">
        <v>664</v>
      </c>
      <c r="B592" s="34">
        <v>41993.0</v>
      </c>
      <c r="C592" s="31" t="s">
        <v>11</v>
      </c>
      <c r="D592" s="31" t="s">
        <v>41</v>
      </c>
      <c r="E592" s="31" t="s">
        <v>31</v>
      </c>
      <c r="F592" s="33">
        <v>19.432</v>
      </c>
      <c r="G592" s="33">
        <v>2.0</v>
      </c>
      <c r="H592" s="33">
        <v>-49.5516</v>
      </c>
    </row>
    <row r="593">
      <c r="A593" s="31" t="s">
        <v>665</v>
      </c>
      <c r="B593" s="34">
        <v>41937.0</v>
      </c>
      <c r="C593" s="31" t="s">
        <v>38</v>
      </c>
      <c r="D593" s="31" t="s">
        <v>27</v>
      </c>
      <c r="E593" s="31" t="s">
        <v>28</v>
      </c>
      <c r="F593" s="33">
        <v>49.408</v>
      </c>
      <c r="G593" s="33">
        <v>4.0</v>
      </c>
      <c r="H593" s="33">
        <v>18.528</v>
      </c>
    </row>
    <row r="594">
      <c r="A594" s="31" t="s">
        <v>666</v>
      </c>
      <c r="B594" s="34">
        <v>42000.0</v>
      </c>
      <c r="C594" s="31" t="s">
        <v>47</v>
      </c>
      <c r="D594" s="31" t="s">
        <v>79</v>
      </c>
      <c r="E594" s="31" t="s">
        <v>45</v>
      </c>
      <c r="F594" s="33">
        <v>767.214</v>
      </c>
      <c r="G594" s="33">
        <v>14.0</v>
      </c>
      <c r="H594" s="33">
        <v>161.9674</v>
      </c>
    </row>
    <row r="595">
      <c r="A595" s="31" t="s">
        <v>667</v>
      </c>
      <c r="B595" s="32">
        <v>41728.0</v>
      </c>
      <c r="C595" s="31" t="s">
        <v>11</v>
      </c>
      <c r="D595" s="31" t="s">
        <v>27</v>
      </c>
      <c r="E595" s="31" t="s">
        <v>28</v>
      </c>
      <c r="F595" s="33">
        <v>205.666</v>
      </c>
      <c r="G595" s="33">
        <v>2.0</v>
      </c>
      <c r="H595" s="33">
        <v>-12.098</v>
      </c>
    </row>
    <row r="596">
      <c r="A596" s="31" t="s">
        <v>668</v>
      </c>
      <c r="B596" s="34">
        <v>41995.0</v>
      </c>
      <c r="C596" s="31" t="s">
        <v>11</v>
      </c>
      <c r="D596" s="31" t="s">
        <v>27</v>
      </c>
      <c r="E596" s="31" t="s">
        <v>28</v>
      </c>
      <c r="F596" s="33">
        <v>11.76</v>
      </c>
      <c r="G596" s="33">
        <v>4.0</v>
      </c>
      <c r="H596" s="33">
        <v>3.1752</v>
      </c>
    </row>
    <row r="597">
      <c r="A597" s="31" t="s">
        <v>669</v>
      </c>
      <c r="B597" s="32">
        <v>41716.0</v>
      </c>
      <c r="C597" s="31" t="s">
        <v>47</v>
      </c>
      <c r="D597" s="31" t="s">
        <v>27</v>
      </c>
      <c r="E597" s="31" t="s">
        <v>28</v>
      </c>
      <c r="F597" s="33">
        <v>1198.33</v>
      </c>
      <c r="G597" s="33">
        <v>10.0</v>
      </c>
      <c r="H597" s="33">
        <v>70.49</v>
      </c>
    </row>
    <row r="598">
      <c r="A598" s="31" t="s">
        <v>670</v>
      </c>
      <c r="B598" s="32">
        <v>41717.0</v>
      </c>
      <c r="C598" s="31" t="s">
        <v>38</v>
      </c>
      <c r="D598" s="31" t="s">
        <v>75</v>
      </c>
      <c r="E598" s="31" t="s">
        <v>59</v>
      </c>
      <c r="F598" s="33">
        <v>323.976</v>
      </c>
      <c r="G598" s="33">
        <v>3.0</v>
      </c>
      <c r="H598" s="33">
        <v>28.3479</v>
      </c>
    </row>
    <row r="599">
      <c r="A599" s="31" t="s">
        <v>671</v>
      </c>
      <c r="B599" s="32">
        <v>41878.0</v>
      </c>
      <c r="C599" s="31" t="s">
        <v>11</v>
      </c>
      <c r="D599" s="31" t="s">
        <v>113</v>
      </c>
      <c r="E599" s="31" t="s">
        <v>59</v>
      </c>
      <c r="F599" s="33">
        <v>13.36</v>
      </c>
      <c r="G599" s="33">
        <v>2.0</v>
      </c>
      <c r="H599" s="33">
        <v>6.4128</v>
      </c>
    </row>
    <row r="600">
      <c r="A600" s="31" t="s">
        <v>672</v>
      </c>
      <c r="B600" s="32">
        <v>41853.0</v>
      </c>
      <c r="C600" s="31" t="s">
        <v>47</v>
      </c>
      <c r="D600" s="31" t="s">
        <v>252</v>
      </c>
      <c r="E600" s="31" t="s">
        <v>31</v>
      </c>
      <c r="F600" s="33">
        <v>26.7</v>
      </c>
      <c r="G600" s="33">
        <v>5.0</v>
      </c>
      <c r="H600" s="33">
        <v>12.549</v>
      </c>
    </row>
    <row r="601">
      <c r="A601" s="31" t="s">
        <v>673</v>
      </c>
      <c r="B601" s="34">
        <v>41923.0</v>
      </c>
      <c r="C601" s="31" t="s">
        <v>11</v>
      </c>
      <c r="D601" s="31" t="s">
        <v>27</v>
      </c>
      <c r="E601" s="31" t="s">
        <v>28</v>
      </c>
      <c r="F601" s="33">
        <v>7.64</v>
      </c>
      <c r="G601" s="33">
        <v>1.0</v>
      </c>
      <c r="H601" s="33">
        <v>3.7436</v>
      </c>
    </row>
    <row r="602">
      <c r="A602" s="31" t="s">
        <v>674</v>
      </c>
      <c r="B602" s="32">
        <v>41945.0</v>
      </c>
      <c r="C602" s="31" t="s">
        <v>11</v>
      </c>
      <c r="D602" s="31" t="s">
        <v>41</v>
      </c>
      <c r="E602" s="31" t="s">
        <v>31</v>
      </c>
      <c r="F602" s="33">
        <v>88.776</v>
      </c>
      <c r="G602" s="33">
        <v>3.0</v>
      </c>
      <c r="H602" s="33">
        <v>7.7679</v>
      </c>
    </row>
    <row r="603">
      <c r="A603" s="31" t="s">
        <v>675</v>
      </c>
      <c r="B603" s="34">
        <v>41994.0</v>
      </c>
      <c r="C603" s="31" t="s">
        <v>47</v>
      </c>
      <c r="D603" s="31" t="s">
        <v>254</v>
      </c>
      <c r="E603" s="31" t="s">
        <v>59</v>
      </c>
      <c r="F603" s="33">
        <v>18.24</v>
      </c>
      <c r="G603" s="33">
        <v>2.0</v>
      </c>
      <c r="H603" s="33">
        <v>-14.592</v>
      </c>
    </row>
    <row r="604">
      <c r="A604" s="31" t="s">
        <v>676</v>
      </c>
      <c r="B604" s="32">
        <v>41975.0</v>
      </c>
      <c r="C604" s="31" t="s">
        <v>11</v>
      </c>
      <c r="D604" s="31" t="s">
        <v>49</v>
      </c>
      <c r="E604" s="31" t="s">
        <v>31</v>
      </c>
      <c r="F604" s="33">
        <v>2.394</v>
      </c>
      <c r="G604" s="33">
        <v>1.0</v>
      </c>
      <c r="H604" s="33">
        <v>-6.3441</v>
      </c>
    </row>
    <row r="605">
      <c r="A605" s="31" t="s">
        <v>677</v>
      </c>
      <c r="B605" s="32">
        <v>41736.0</v>
      </c>
      <c r="C605" s="31" t="s">
        <v>47</v>
      </c>
      <c r="D605" s="31" t="s">
        <v>173</v>
      </c>
      <c r="E605" s="31" t="s">
        <v>59</v>
      </c>
      <c r="F605" s="33">
        <v>58.32</v>
      </c>
      <c r="G605" s="33">
        <v>9.0</v>
      </c>
      <c r="H605" s="33">
        <v>27.9936</v>
      </c>
    </row>
    <row r="606">
      <c r="A606" s="31" t="s">
        <v>678</v>
      </c>
      <c r="B606" s="32">
        <v>41946.0</v>
      </c>
      <c r="C606" s="31" t="s">
        <v>11</v>
      </c>
      <c r="D606" s="31" t="s">
        <v>254</v>
      </c>
      <c r="E606" s="31" t="s">
        <v>59</v>
      </c>
      <c r="F606" s="33">
        <v>3.488</v>
      </c>
      <c r="G606" s="33">
        <v>2.0</v>
      </c>
      <c r="H606" s="33">
        <v>1.1772</v>
      </c>
    </row>
    <row r="607">
      <c r="A607" s="31" t="s">
        <v>679</v>
      </c>
      <c r="B607" s="32">
        <v>41828.0</v>
      </c>
      <c r="C607" s="31" t="s">
        <v>38</v>
      </c>
      <c r="D607" s="31" t="s">
        <v>27</v>
      </c>
      <c r="E607" s="31" t="s">
        <v>28</v>
      </c>
      <c r="F607" s="33">
        <v>502.488</v>
      </c>
      <c r="G607" s="33">
        <v>3.0</v>
      </c>
      <c r="H607" s="33">
        <v>-87.9354</v>
      </c>
    </row>
    <row r="608">
      <c r="A608" s="31" t="s">
        <v>680</v>
      </c>
      <c r="B608" s="32">
        <v>41898.0</v>
      </c>
      <c r="C608" s="31" t="s">
        <v>38</v>
      </c>
      <c r="D608" s="31" t="s">
        <v>79</v>
      </c>
      <c r="E608" s="31" t="s">
        <v>45</v>
      </c>
      <c r="F608" s="33">
        <v>33.552</v>
      </c>
      <c r="G608" s="33">
        <v>1.0</v>
      </c>
      <c r="H608" s="33">
        <v>12.582</v>
      </c>
    </row>
    <row r="609">
      <c r="A609" s="31" t="s">
        <v>681</v>
      </c>
      <c r="B609" s="34">
        <v>42001.0</v>
      </c>
      <c r="C609" s="31" t="s">
        <v>38</v>
      </c>
      <c r="D609" s="31" t="s">
        <v>176</v>
      </c>
      <c r="E609" s="31" t="s">
        <v>45</v>
      </c>
      <c r="F609" s="33">
        <v>1737.18</v>
      </c>
      <c r="G609" s="33">
        <v>6.0</v>
      </c>
      <c r="H609" s="33">
        <v>503.7822</v>
      </c>
    </row>
    <row r="610">
      <c r="A610" s="31" t="s">
        <v>682</v>
      </c>
      <c r="B610" s="34">
        <v>41933.0</v>
      </c>
      <c r="C610" s="31" t="s">
        <v>38</v>
      </c>
      <c r="D610" s="31" t="s">
        <v>27</v>
      </c>
      <c r="E610" s="31" t="s">
        <v>28</v>
      </c>
      <c r="F610" s="33">
        <v>36.36</v>
      </c>
      <c r="G610" s="33">
        <v>3.0</v>
      </c>
      <c r="H610" s="33">
        <v>12.2715</v>
      </c>
    </row>
    <row r="611">
      <c r="A611" s="31" t="s">
        <v>683</v>
      </c>
      <c r="B611" s="32">
        <v>41796.0</v>
      </c>
      <c r="C611" s="31" t="s">
        <v>11</v>
      </c>
      <c r="D611" s="31" t="s">
        <v>49</v>
      </c>
      <c r="E611" s="31" t="s">
        <v>31</v>
      </c>
      <c r="F611" s="33">
        <v>24.588</v>
      </c>
      <c r="G611" s="33">
        <v>3.0</v>
      </c>
      <c r="H611" s="33">
        <v>-38.1114</v>
      </c>
    </row>
    <row r="612">
      <c r="A612" s="31" t="s">
        <v>684</v>
      </c>
      <c r="B612" s="32">
        <v>41893.0</v>
      </c>
      <c r="C612" s="31" t="s">
        <v>11</v>
      </c>
      <c r="D612" s="31" t="s">
        <v>27</v>
      </c>
      <c r="E612" s="31" t="s">
        <v>28</v>
      </c>
      <c r="F612" s="33">
        <v>127.95</v>
      </c>
      <c r="G612" s="33">
        <v>3.0</v>
      </c>
      <c r="H612" s="33">
        <v>21.7515</v>
      </c>
    </row>
    <row r="613">
      <c r="A613" s="31" t="s">
        <v>685</v>
      </c>
      <c r="B613" s="34">
        <v>41967.0</v>
      </c>
      <c r="C613" s="31" t="s">
        <v>38</v>
      </c>
      <c r="D613" s="31" t="s">
        <v>36</v>
      </c>
      <c r="E613" s="31" t="s">
        <v>31</v>
      </c>
      <c r="F613" s="33">
        <v>151.92</v>
      </c>
      <c r="G613" s="33">
        <v>4.0</v>
      </c>
      <c r="H613" s="33">
        <v>45.576</v>
      </c>
    </row>
    <row r="614">
      <c r="A614" s="31" t="s">
        <v>686</v>
      </c>
      <c r="B614" s="34">
        <v>41925.0</v>
      </c>
      <c r="C614" s="31" t="s">
        <v>38</v>
      </c>
      <c r="D614" s="31" t="s">
        <v>79</v>
      </c>
      <c r="E614" s="31" t="s">
        <v>45</v>
      </c>
      <c r="F614" s="33">
        <v>7.752</v>
      </c>
      <c r="G614" s="33">
        <v>3.0</v>
      </c>
      <c r="H614" s="33">
        <v>2.8101</v>
      </c>
    </row>
    <row r="615">
      <c r="A615" s="31" t="s">
        <v>687</v>
      </c>
      <c r="B615" s="32">
        <v>41793.0</v>
      </c>
      <c r="C615" s="31" t="s">
        <v>47</v>
      </c>
      <c r="D615" s="31" t="s">
        <v>36</v>
      </c>
      <c r="E615" s="31" t="s">
        <v>31</v>
      </c>
      <c r="F615" s="33">
        <v>15.28</v>
      </c>
      <c r="G615" s="33">
        <v>2.0</v>
      </c>
      <c r="H615" s="33">
        <v>7.4872</v>
      </c>
    </row>
    <row r="616">
      <c r="A616" s="31" t="s">
        <v>688</v>
      </c>
      <c r="B616" s="32">
        <v>41807.0</v>
      </c>
      <c r="C616" s="31" t="s">
        <v>11</v>
      </c>
      <c r="D616" s="31" t="s">
        <v>119</v>
      </c>
      <c r="E616" s="31" t="s">
        <v>45</v>
      </c>
      <c r="F616" s="33">
        <v>65.97</v>
      </c>
      <c r="G616" s="33">
        <v>3.0</v>
      </c>
      <c r="H616" s="33">
        <v>31.0059</v>
      </c>
    </row>
    <row r="617">
      <c r="A617" s="31" t="s">
        <v>689</v>
      </c>
      <c r="B617" s="32">
        <v>41659.0</v>
      </c>
      <c r="C617" s="31" t="s">
        <v>11</v>
      </c>
      <c r="D617" s="31" t="s">
        <v>36</v>
      </c>
      <c r="E617" s="31" t="s">
        <v>31</v>
      </c>
      <c r="F617" s="33">
        <v>13.98</v>
      </c>
      <c r="G617" s="33">
        <v>1.0</v>
      </c>
      <c r="H617" s="33">
        <v>4.0542</v>
      </c>
    </row>
    <row r="618">
      <c r="A618" s="31" t="s">
        <v>690</v>
      </c>
      <c r="B618" s="32">
        <v>41831.0</v>
      </c>
      <c r="C618" s="31" t="s">
        <v>11</v>
      </c>
      <c r="D618" s="31" t="s">
        <v>79</v>
      </c>
      <c r="E618" s="31" t="s">
        <v>45</v>
      </c>
      <c r="F618" s="33">
        <v>49.12</v>
      </c>
      <c r="G618" s="33">
        <v>4.0</v>
      </c>
      <c r="H618" s="33">
        <v>23.0864</v>
      </c>
    </row>
    <row r="619">
      <c r="A619" s="31" t="s">
        <v>691</v>
      </c>
      <c r="B619" s="32">
        <v>41918.0</v>
      </c>
      <c r="C619" s="31" t="s">
        <v>11</v>
      </c>
      <c r="D619" s="31" t="s">
        <v>77</v>
      </c>
      <c r="E619" s="31" t="s">
        <v>45</v>
      </c>
      <c r="F619" s="33">
        <v>83.92</v>
      </c>
      <c r="G619" s="33">
        <v>5.0</v>
      </c>
      <c r="H619" s="33">
        <v>-13.637</v>
      </c>
    </row>
    <row r="620">
      <c r="A620" s="31" t="s">
        <v>692</v>
      </c>
      <c r="B620" s="34">
        <v>41968.0</v>
      </c>
      <c r="C620" s="31" t="s">
        <v>11</v>
      </c>
      <c r="D620" s="31" t="s">
        <v>211</v>
      </c>
      <c r="E620" s="31" t="s">
        <v>28</v>
      </c>
      <c r="F620" s="33">
        <v>51.016</v>
      </c>
      <c r="G620" s="33">
        <v>7.0</v>
      </c>
      <c r="H620" s="33">
        <v>8.2901</v>
      </c>
    </row>
    <row r="621">
      <c r="A621" s="31" t="s">
        <v>693</v>
      </c>
      <c r="B621" s="32">
        <v>41758.0</v>
      </c>
      <c r="C621" s="31" t="s">
        <v>38</v>
      </c>
      <c r="D621" s="31" t="s">
        <v>254</v>
      </c>
      <c r="E621" s="31" t="s">
        <v>59</v>
      </c>
      <c r="F621" s="33">
        <v>561.584</v>
      </c>
      <c r="G621" s="33">
        <v>2.0</v>
      </c>
      <c r="H621" s="33">
        <v>70.198</v>
      </c>
    </row>
    <row r="622">
      <c r="A622" s="31" t="s">
        <v>694</v>
      </c>
      <c r="B622" s="32">
        <v>41737.0</v>
      </c>
      <c r="C622" s="31" t="s">
        <v>47</v>
      </c>
      <c r="D622" s="31" t="s">
        <v>39</v>
      </c>
      <c r="E622" s="31" t="s">
        <v>28</v>
      </c>
      <c r="F622" s="33">
        <v>49.792</v>
      </c>
      <c r="G622" s="33">
        <v>8.0</v>
      </c>
      <c r="H622" s="33">
        <v>-11.8256</v>
      </c>
    </row>
    <row r="623">
      <c r="A623" s="31" t="s">
        <v>695</v>
      </c>
      <c r="B623" s="32">
        <v>41669.0</v>
      </c>
      <c r="C623" s="31" t="s">
        <v>11</v>
      </c>
      <c r="D623" s="31" t="s">
        <v>36</v>
      </c>
      <c r="E623" s="31" t="s">
        <v>31</v>
      </c>
      <c r="F623" s="33">
        <v>10.56</v>
      </c>
      <c r="G623" s="33">
        <v>2.0</v>
      </c>
      <c r="H623" s="33">
        <v>4.752</v>
      </c>
    </row>
    <row r="624">
      <c r="A624" s="31" t="s">
        <v>696</v>
      </c>
      <c r="B624" s="32">
        <v>41846.0</v>
      </c>
      <c r="C624" s="31" t="s">
        <v>38</v>
      </c>
      <c r="D624" s="31" t="s">
        <v>33</v>
      </c>
      <c r="E624" s="31" t="s">
        <v>28</v>
      </c>
      <c r="F624" s="33">
        <v>111.93</v>
      </c>
      <c r="G624" s="33">
        <v>7.0</v>
      </c>
      <c r="H624" s="33">
        <v>34.6983</v>
      </c>
    </row>
    <row r="625">
      <c r="A625" s="31" t="s">
        <v>697</v>
      </c>
      <c r="B625" s="32">
        <v>41946.0</v>
      </c>
      <c r="C625" s="31" t="s">
        <v>11</v>
      </c>
      <c r="D625" s="31" t="s">
        <v>65</v>
      </c>
      <c r="E625" s="31" t="s">
        <v>59</v>
      </c>
      <c r="F625" s="33">
        <v>25.984</v>
      </c>
      <c r="G625" s="33">
        <v>2.0</v>
      </c>
      <c r="H625" s="33">
        <v>-1.624</v>
      </c>
    </row>
    <row r="626">
      <c r="A626" s="31" t="s">
        <v>698</v>
      </c>
      <c r="B626" s="32">
        <v>41916.0</v>
      </c>
      <c r="C626" s="31" t="s">
        <v>11</v>
      </c>
      <c r="D626" s="31" t="s">
        <v>79</v>
      </c>
      <c r="E626" s="31" t="s">
        <v>45</v>
      </c>
      <c r="F626" s="33">
        <v>589.41</v>
      </c>
      <c r="G626" s="33">
        <v>5.0</v>
      </c>
      <c r="H626" s="33">
        <v>-6.549</v>
      </c>
    </row>
    <row r="627">
      <c r="A627" s="31" t="s">
        <v>699</v>
      </c>
      <c r="B627" s="32">
        <v>41856.0</v>
      </c>
      <c r="C627" s="31" t="s">
        <v>38</v>
      </c>
      <c r="D627" s="31" t="s">
        <v>79</v>
      </c>
      <c r="E627" s="31" t="s">
        <v>45</v>
      </c>
      <c r="F627" s="33">
        <v>135.99</v>
      </c>
      <c r="G627" s="33">
        <v>1.0</v>
      </c>
      <c r="H627" s="33">
        <v>36.7173</v>
      </c>
    </row>
    <row r="628">
      <c r="A628" s="31" t="s">
        <v>700</v>
      </c>
      <c r="B628" s="32">
        <v>41796.0</v>
      </c>
      <c r="C628" s="31" t="s">
        <v>47</v>
      </c>
      <c r="D628" s="31" t="s">
        <v>41</v>
      </c>
      <c r="E628" s="31" t="s">
        <v>31</v>
      </c>
      <c r="F628" s="33">
        <v>100.24</v>
      </c>
      <c r="G628" s="33">
        <v>10.0</v>
      </c>
      <c r="H628" s="33">
        <v>33.831</v>
      </c>
    </row>
    <row r="629">
      <c r="A629" s="31" t="s">
        <v>701</v>
      </c>
      <c r="B629" s="32">
        <v>41653.0</v>
      </c>
      <c r="C629" s="31" t="s">
        <v>38</v>
      </c>
      <c r="D629" s="31" t="s">
        <v>77</v>
      </c>
      <c r="E629" s="31" t="s">
        <v>45</v>
      </c>
      <c r="F629" s="33">
        <v>61.96</v>
      </c>
      <c r="G629" s="33">
        <v>4.0</v>
      </c>
      <c r="H629" s="33">
        <v>-53.2856</v>
      </c>
    </row>
    <row r="630">
      <c r="A630" s="31" t="s">
        <v>702</v>
      </c>
      <c r="B630" s="32">
        <v>41897.0</v>
      </c>
      <c r="C630" s="31" t="s">
        <v>38</v>
      </c>
      <c r="D630" s="31" t="s">
        <v>77</v>
      </c>
      <c r="E630" s="31" t="s">
        <v>45</v>
      </c>
      <c r="F630" s="33">
        <v>103.936</v>
      </c>
      <c r="G630" s="33">
        <v>4.0</v>
      </c>
      <c r="H630" s="33">
        <v>16.8896</v>
      </c>
    </row>
    <row r="631">
      <c r="A631" s="31" t="s">
        <v>703</v>
      </c>
      <c r="B631" s="32">
        <v>41945.0</v>
      </c>
      <c r="C631" s="31" t="s">
        <v>11</v>
      </c>
      <c r="D631" s="31" t="s">
        <v>44</v>
      </c>
      <c r="E631" s="31" t="s">
        <v>45</v>
      </c>
      <c r="F631" s="33">
        <v>539.964</v>
      </c>
      <c r="G631" s="33">
        <v>6.0</v>
      </c>
      <c r="H631" s="33">
        <v>-107.9928</v>
      </c>
    </row>
    <row r="632">
      <c r="A632" s="31" t="s">
        <v>704</v>
      </c>
      <c r="B632" s="34">
        <v>41995.0</v>
      </c>
      <c r="C632" s="31" t="s">
        <v>47</v>
      </c>
      <c r="D632" s="31" t="s">
        <v>79</v>
      </c>
      <c r="E632" s="31" t="s">
        <v>45</v>
      </c>
      <c r="F632" s="33">
        <v>216.4</v>
      </c>
      <c r="G632" s="33">
        <v>4.0</v>
      </c>
      <c r="H632" s="33">
        <v>56.264</v>
      </c>
    </row>
    <row r="633">
      <c r="A633" s="31" t="s">
        <v>705</v>
      </c>
      <c r="B633" s="32">
        <v>41693.0</v>
      </c>
      <c r="C633" s="31" t="s">
        <v>47</v>
      </c>
      <c r="D633" s="31" t="s">
        <v>41</v>
      </c>
      <c r="E633" s="31" t="s">
        <v>31</v>
      </c>
      <c r="F633" s="33">
        <v>6.936</v>
      </c>
      <c r="G633" s="33">
        <v>3.0</v>
      </c>
      <c r="H633" s="33">
        <v>2.3409</v>
      </c>
    </row>
    <row r="634">
      <c r="A634" s="31" t="s">
        <v>706</v>
      </c>
      <c r="B634" s="34">
        <v>41960.0</v>
      </c>
      <c r="C634" s="31" t="s">
        <v>11</v>
      </c>
      <c r="D634" s="31" t="s">
        <v>79</v>
      </c>
      <c r="E634" s="31" t="s">
        <v>45</v>
      </c>
      <c r="F634" s="33">
        <v>2152.776</v>
      </c>
      <c r="G634" s="33">
        <v>3.0</v>
      </c>
      <c r="H634" s="33">
        <v>726.5619</v>
      </c>
    </row>
    <row r="635">
      <c r="A635" s="31" t="s">
        <v>707</v>
      </c>
      <c r="B635" s="34">
        <v>41932.0</v>
      </c>
      <c r="C635" s="31" t="s">
        <v>38</v>
      </c>
      <c r="D635" s="31" t="s">
        <v>254</v>
      </c>
      <c r="E635" s="31" t="s">
        <v>59</v>
      </c>
      <c r="F635" s="33">
        <v>328.59</v>
      </c>
      <c r="G635" s="33">
        <v>3.0</v>
      </c>
      <c r="H635" s="33">
        <v>-147.8655</v>
      </c>
    </row>
    <row r="636">
      <c r="A636" s="31" t="s">
        <v>708</v>
      </c>
      <c r="B636" s="32">
        <v>41699.0</v>
      </c>
      <c r="C636" s="31" t="s">
        <v>47</v>
      </c>
      <c r="D636" s="31" t="s">
        <v>49</v>
      </c>
      <c r="E636" s="31" t="s">
        <v>31</v>
      </c>
      <c r="F636" s="33">
        <v>634.116</v>
      </c>
      <c r="G636" s="33">
        <v>6.0</v>
      </c>
      <c r="H636" s="33">
        <v>-172.1172</v>
      </c>
    </row>
    <row r="637">
      <c r="A637" s="31" t="s">
        <v>709</v>
      </c>
      <c r="B637" s="34">
        <v>41932.0</v>
      </c>
      <c r="C637" s="31" t="s">
        <v>47</v>
      </c>
      <c r="D637" s="31" t="s">
        <v>49</v>
      </c>
      <c r="E637" s="31" t="s">
        <v>31</v>
      </c>
      <c r="F637" s="33">
        <v>319.968</v>
      </c>
      <c r="G637" s="33">
        <v>4.0</v>
      </c>
      <c r="H637" s="33">
        <v>71.9928</v>
      </c>
    </row>
    <row r="638">
      <c r="A638" s="31" t="s">
        <v>710</v>
      </c>
      <c r="B638" s="32">
        <v>41766.0</v>
      </c>
      <c r="C638" s="31" t="s">
        <v>11</v>
      </c>
      <c r="D638" s="31" t="s">
        <v>176</v>
      </c>
      <c r="E638" s="31" t="s">
        <v>45</v>
      </c>
      <c r="F638" s="33">
        <v>16.14</v>
      </c>
      <c r="G638" s="33">
        <v>3.0</v>
      </c>
      <c r="H638" s="33">
        <v>7.9086</v>
      </c>
    </row>
    <row r="639">
      <c r="A639" s="31" t="s">
        <v>711</v>
      </c>
      <c r="B639" s="32">
        <v>41747.0</v>
      </c>
      <c r="C639" s="31" t="s">
        <v>11</v>
      </c>
      <c r="D639" s="31" t="s">
        <v>41</v>
      </c>
      <c r="E639" s="31" t="s">
        <v>31</v>
      </c>
      <c r="F639" s="33">
        <v>2.688</v>
      </c>
      <c r="G639" s="33">
        <v>2.0</v>
      </c>
      <c r="H639" s="33">
        <v>1.008</v>
      </c>
    </row>
    <row r="640">
      <c r="A640" s="31" t="s">
        <v>712</v>
      </c>
      <c r="B640" s="32">
        <v>41876.0</v>
      </c>
      <c r="C640" s="31" t="s">
        <v>11</v>
      </c>
      <c r="D640" s="31" t="s">
        <v>52</v>
      </c>
      <c r="E640" s="31" t="s">
        <v>28</v>
      </c>
      <c r="F640" s="33">
        <v>1007.944</v>
      </c>
      <c r="G640" s="33">
        <v>7.0</v>
      </c>
      <c r="H640" s="33">
        <v>75.5958</v>
      </c>
    </row>
    <row r="641">
      <c r="A641" s="31" t="s">
        <v>713</v>
      </c>
      <c r="B641" s="32">
        <v>41721.0</v>
      </c>
      <c r="C641" s="31" t="s">
        <v>11</v>
      </c>
      <c r="D641" s="31" t="s">
        <v>75</v>
      </c>
      <c r="E641" s="31" t="s">
        <v>59</v>
      </c>
      <c r="F641" s="33">
        <v>9.912</v>
      </c>
      <c r="G641" s="33">
        <v>3.0</v>
      </c>
      <c r="H641" s="33">
        <v>3.2214</v>
      </c>
    </row>
    <row r="642">
      <c r="A642" s="31" t="s">
        <v>714</v>
      </c>
      <c r="B642" s="32">
        <v>41796.0</v>
      </c>
      <c r="C642" s="31" t="s">
        <v>11</v>
      </c>
      <c r="D642" s="31" t="s">
        <v>75</v>
      </c>
      <c r="E642" s="31" t="s">
        <v>59</v>
      </c>
      <c r="F642" s="33">
        <v>1.365</v>
      </c>
      <c r="G642" s="33">
        <v>1.0</v>
      </c>
      <c r="H642" s="33">
        <v>-0.91</v>
      </c>
    </row>
    <row r="643">
      <c r="A643" s="31" t="s">
        <v>715</v>
      </c>
      <c r="B643" s="32">
        <v>41975.0</v>
      </c>
      <c r="C643" s="31" t="s">
        <v>38</v>
      </c>
      <c r="D643" s="31" t="s">
        <v>227</v>
      </c>
      <c r="E643" s="31" t="s">
        <v>45</v>
      </c>
      <c r="F643" s="33">
        <v>60.72</v>
      </c>
      <c r="G643" s="33">
        <v>3.0</v>
      </c>
      <c r="H643" s="33">
        <v>23.6808</v>
      </c>
    </row>
    <row r="644">
      <c r="A644" s="31" t="s">
        <v>716</v>
      </c>
      <c r="B644" s="32">
        <v>41888.0</v>
      </c>
      <c r="C644" s="31" t="s">
        <v>38</v>
      </c>
      <c r="D644" s="31" t="s">
        <v>27</v>
      </c>
      <c r="E644" s="31" t="s">
        <v>28</v>
      </c>
      <c r="F644" s="33">
        <v>41.88</v>
      </c>
      <c r="G644" s="33">
        <v>6.0</v>
      </c>
      <c r="H644" s="33">
        <v>12.1452</v>
      </c>
    </row>
    <row r="645">
      <c r="A645" s="31" t="s">
        <v>717</v>
      </c>
      <c r="B645" s="34">
        <v>41987.0</v>
      </c>
      <c r="C645" s="31" t="s">
        <v>11</v>
      </c>
      <c r="D645" s="31" t="s">
        <v>79</v>
      </c>
      <c r="E645" s="31" t="s">
        <v>45</v>
      </c>
      <c r="F645" s="33">
        <v>6999.96</v>
      </c>
      <c r="G645" s="33">
        <v>4.0</v>
      </c>
      <c r="H645" s="33">
        <v>2239.9872</v>
      </c>
    </row>
    <row r="646">
      <c r="A646" s="31" t="s">
        <v>718</v>
      </c>
      <c r="B646" s="32">
        <v>41782.0</v>
      </c>
      <c r="C646" s="31" t="s">
        <v>11</v>
      </c>
      <c r="D646" s="31" t="s">
        <v>52</v>
      </c>
      <c r="E646" s="31" t="s">
        <v>28</v>
      </c>
      <c r="F646" s="33">
        <v>12.96</v>
      </c>
      <c r="G646" s="33">
        <v>2.0</v>
      </c>
      <c r="H646" s="33">
        <v>6.2208</v>
      </c>
    </row>
    <row r="647">
      <c r="A647" s="31" t="s">
        <v>719</v>
      </c>
      <c r="B647" s="34">
        <v>41943.0</v>
      </c>
      <c r="C647" s="31" t="s">
        <v>38</v>
      </c>
      <c r="D647" s="31" t="s">
        <v>44</v>
      </c>
      <c r="E647" s="31" t="s">
        <v>45</v>
      </c>
      <c r="F647" s="33">
        <v>1421.664</v>
      </c>
      <c r="G647" s="33">
        <v>8.0</v>
      </c>
      <c r="H647" s="33">
        <v>-734.5264</v>
      </c>
    </row>
    <row r="648">
      <c r="A648" s="31" t="s">
        <v>720</v>
      </c>
      <c r="B648" s="32">
        <v>41874.0</v>
      </c>
      <c r="C648" s="31" t="s">
        <v>38</v>
      </c>
      <c r="D648" s="31" t="s">
        <v>27</v>
      </c>
      <c r="E648" s="31" t="s">
        <v>28</v>
      </c>
      <c r="F648" s="33">
        <v>49.568</v>
      </c>
      <c r="G648" s="33">
        <v>2.0</v>
      </c>
      <c r="H648" s="33">
        <v>17.3488</v>
      </c>
    </row>
    <row r="649">
      <c r="A649" s="31" t="s">
        <v>721</v>
      </c>
      <c r="B649" s="34">
        <v>41922.0</v>
      </c>
      <c r="C649" s="31" t="s">
        <v>47</v>
      </c>
      <c r="D649" s="31" t="s">
        <v>39</v>
      </c>
      <c r="E649" s="31" t="s">
        <v>28</v>
      </c>
      <c r="F649" s="33">
        <v>46.872</v>
      </c>
      <c r="G649" s="33">
        <v>7.0</v>
      </c>
      <c r="H649" s="33">
        <v>3.5154</v>
      </c>
    </row>
    <row r="650">
      <c r="A650" s="31" t="s">
        <v>722</v>
      </c>
      <c r="B650" s="32">
        <v>41948.0</v>
      </c>
      <c r="C650" s="31" t="s">
        <v>47</v>
      </c>
      <c r="D650" s="31" t="s">
        <v>27</v>
      </c>
      <c r="E650" s="31" t="s">
        <v>28</v>
      </c>
      <c r="F650" s="33">
        <v>20.04</v>
      </c>
      <c r="G650" s="33">
        <v>6.0</v>
      </c>
      <c r="H650" s="33">
        <v>8.8176</v>
      </c>
    </row>
    <row r="651">
      <c r="A651" s="31" t="s">
        <v>723</v>
      </c>
      <c r="B651" s="32">
        <v>41742.0</v>
      </c>
      <c r="C651" s="31" t="s">
        <v>47</v>
      </c>
      <c r="D651" s="31" t="s">
        <v>227</v>
      </c>
      <c r="E651" s="31" t="s">
        <v>45</v>
      </c>
      <c r="F651" s="33">
        <v>7.83</v>
      </c>
      <c r="G651" s="33">
        <v>3.0</v>
      </c>
      <c r="H651" s="33">
        <v>3.6018</v>
      </c>
    </row>
    <row r="652">
      <c r="A652" s="31" t="s">
        <v>724</v>
      </c>
      <c r="B652" s="32">
        <v>41824.0</v>
      </c>
      <c r="C652" s="31" t="s">
        <v>38</v>
      </c>
      <c r="D652" s="31" t="s">
        <v>63</v>
      </c>
      <c r="E652" s="31" t="s">
        <v>28</v>
      </c>
      <c r="F652" s="33">
        <v>177.536</v>
      </c>
      <c r="G652" s="33">
        <v>4.0</v>
      </c>
      <c r="H652" s="33">
        <v>62.1376</v>
      </c>
    </row>
    <row r="653">
      <c r="A653" s="31" t="s">
        <v>725</v>
      </c>
      <c r="B653" s="32">
        <v>41785.0</v>
      </c>
      <c r="C653" s="31" t="s">
        <v>11</v>
      </c>
      <c r="D653" s="31" t="s">
        <v>49</v>
      </c>
      <c r="E653" s="31" t="s">
        <v>31</v>
      </c>
      <c r="F653" s="33">
        <v>102.624</v>
      </c>
      <c r="G653" s="33">
        <v>3.0</v>
      </c>
      <c r="H653" s="33">
        <v>7.6968</v>
      </c>
    </row>
    <row r="654">
      <c r="A654" s="31" t="s">
        <v>726</v>
      </c>
      <c r="B654" s="32">
        <v>41863.0</v>
      </c>
      <c r="C654" s="31" t="s">
        <v>38</v>
      </c>
      <c r="D654" s="31" t="s">
        <v>72</v>
      </c>
      <c r="E654" s="31" t="s">
        <v>45</v>
      </c>
      <c r="F654" s="33">
        <v>196.21</v>
      </c>
      <c r="G654" s="33">
        <v>7.0</v>
      </c>
      <c r="H654" s="33">
        <v>98.105</v>
      </c>
    </row>
    <row r="655">
      <c r="A655" s="31" t="s">
        <v>727</v>
      </c>
      <c r="B655" s="32">
        <v>41866.0</v>
      </c>
      <c r="C655" s="31" t="s">
        <v>11</v>
      </c>
      <c r="D655" s="31" t="s">
        <v>192</v>
      </c>
      <c r="E655" s="31" t="s">
        <v>45</v>
      </c>
      <c r="F655" s="33">
        <v>62.94</v>
      </c>
      <c r="G655" s="33">
        <v>3.0</v>
      </c>
      <c r="H655" s="33">
        <v>30.2112</v>
      </c>
    </row>
    <row r="656">
      <c r="A656" s="31" t="s">
        <v>728</v>
      </c>
      <c r="B656" s="32">
        <v>41917.0</v>
      </c>
      <c r="C656" s="31" t="s">
        <v>11</v>
      </c>
      <c r="D656" s="31" t="s">
        <v>27</v>
      </c>
      <c r="E656" s="31" t="s">
        <v>28</v>
      </c>
      <c r="F656" s="33">
        <v>99.98</v>
      </c>
      <c r="G656" s="33">
        <v>2.0</v>
      </c>
      <c r="H656" s="33">
        <v>34.993</v>
      </c>
    </row>
    <row r="657">
      <c r="A657" s="31" t="s">
        <v>729</v>
      </c>
      <c r="B657" s="34">
        <v>41965.0</v>
      </c>
      <c r="C657" s="31" t="s">
        <v>38</v>
      </c>
      <c r="D657" s="31" t="s">
        <v>173</v>
      </c>
      <c r="E657" s="31" t="s">
        <v>59</v>
      </c>
      <c r="F657" s="33">
        <v>9.96</v>
      </c>
      <c r="G657" s="33">
        <v>2.0</v>
      </c>
      <c r="H657" s="33">
        <v>4.8804</v>
      </c>
    </row>
    <row r="658">
      <c r="A658" s="31" t="s">
        <v>730</v>
      </c>
      <c r="B658" s="32">
        <v>41807.0</v>
      </c>
      <c r="C658" s="31" t="s">
        <v>11</v>
      </c>
      <c r="D658" s="31" t="s">
        <v>52</v>
      </c>
      <c r="E658" s="31" t="s">
        <v>28</v>
      </c>
      <c r="F658" s="33">
        <v>6.24</v>
      </c>
      <c r="G658" s="33">
        <v>3.0</v>
      </c>
      <c r="H658" s="33">
        <v>2.6208</v>
      </c>
    </row>
    <row r="659">
      <c r="A659" s="31" t="s">
        <v>731</v>
      </c>
      <c r="B659" s="32">
        <v>41826.0</v>
      </c>
      <c r="C659" s="31" t="s">
        <v>47</v>
      </c>
      <c r="D659" s="31" t="s">
        <v>27</v>
      </c>
      <c r="E659" s="31" t="s">
        <v>28</v>
      </c>
      <c r="F659" s="33">
        <v>478.48</v>
      </c>
      <c r="G659" s="33">
        <v>2.0</v>
      </c>
      <c r="H659" s="33">
        <v>47.848</v>
      </c>
    </row>
    <row r="660">
      <c r="A660" s="31" t="s">
        <v>732</v>
      </c>
      <c r="B660" s="32">
        <v>41749.0</v>
      </c>
      <c r="C660" s="31" t="s">
        <v>11</v>
      </c>
      <c r="D660" s="31" t="s">
        <v>27</v>
      </c>
      <c r="E660" s="31" t="s">
        <v>28</v>
      </c>
      <c r="F660" s="33">
        <v>59.92</v>
      </c>
      <c r="G660" s="33">
        <v>4.0</v>
      </c>
      <c r="H660" s="33">
        <v>27.5632</v>
      </c>
    </row>
    <row r="661">
      <c r="A661" s="31" t="s">
        <v>733</v>
      </c>
      <c r="B661" s="34">
        <v>41929.0</v>
      </c>
      <c r="C661" s="31" t="s">
        <v>11</v>
      </c>
      <c r="D661" s="31" t="s">
        <v>41</v>
      </c>
      <c r="E661" s="31" t="s">
        <v>31</v>
      </c>
      <c r="F661" s="33">
        <v>10.78</v>
      </c>
      <c r="G661" s="33">
        <v>5.0</v>
      </c>
      <c r="H661" s="33">
        <v>-17.248</v>
      </c>
    </row>
    <row r="662">
      <c r="A662" s="31" t="s">
        <v>734</v>
      </c>
      <c r="B662" s="32">
        <v>41895.0</v>
      </c>
      <c r="C662" s="31" t="s">
        <v>11</v>
      </c>
      <c r="D662" s="31" t="s">
        <v>44</v>
      </c>
      <c r="E662" s="31" t="s">
        <v>45</v>
      </c>
      <c r="F662" s="33">
        <v>2.502</v>
      </c>
      <c r="G662" s="33">
        <v>3.0</v>
      </c>
      <c r="H662" s="33">
        <v>-2.0016</v>
      </c>
    </row>
    <row r="663">
      <c r="A663" s="31" t="s">
        <v>735</v>
      </c>
      <c r="B663" s="34">
        <v>41995.0</v>
      </c>
      <c r="C663" s="31" t="s">
        <v>11</v>
      </c>
      <c r="D663" s="31" t="s">
        <v>49</v>
      </c>
      <c r="E663" s="31" t="s">
        <v>31</v>
      </c>
      <c r="F663" s="33">
        <v>132.16</v>
      </c>
      <c r="G663" s="33">
        <v>1.0</v>
      </c>
      <c r="H663" s="33">
        <v>9.912</v>
      </c>
    </row>
    <row r="664">
      <c r="A664" s="31" t="s">
        <v>736</v>
      </c>
      <c r="B664" s="34">
        <v>41989.0</v>
      </c>
      <c r="C664" s="31" t="s">
        <v>38</v>
      </c>
      <c r="D664" s="31" t="s">
        <v>27</v>
      </c>
      <c r="E664" s="31" t="s">
        <v>28</v>
      </c>
      <c r="F664" s="33">
        <v>1403.92</v>
      </c>
      <c r="G664" s="33">
        <v>5.0</v>
      </c>
      <c r="H664" s="33">
        <v>70.196</v>
      </c>
    </row>
    <row r="665">
      <c r="A665" s="31" t="s">
        <v>737</v>
      </c>
      <c r="B665" s="32">
        <v>41834.0</v>
      </c>
      <c r="C665" s="31" t="s">
        <v>11</v>
      </c>
      <c r="D665" s="31" t="s">
        <v>77</v>
      </c>
      <c r="E665" s="31" t="s">
        <v>45</v>
      </c>
      <c r="F665" s="33">
        <v>13.494</v>
      </c>
      <c r="G665" s="33">
        <v>1.0</v>
      </c>
      <c r="H665" s="33">
        <v>-2.249</v>
      </c>
    </row>
    <row r="666">
      <c r="A666" s="31" t="s">
        <v>738</v>
      </c>
      <c r="B666" s="32">
        <v>41805.0</v>
      </c>
      <c r="C666" s="31" t="s">
        <v>11</v>
      </c>
      <c r="D666" s="31" t="s">
        <v>41</v>
      </c>
      <c r="E666" s="31" t="s">
        <v>31</v>
      </c>
      <c r="F666" s="33">
        <v>36.544</v>
      </c>
      <c r="G666" s="33">
        <v>2.0</v>
      </c>
      <c r="H666" s="33">
        <v>11.8768</v>
      </c>
    </row>
    <row r="667">
      <c r="A667" s="31" t="s">
        <v>739</v>
      </c>
      <c r="B667" s="32">
        <v>41905.0</v>
      </c>
      <c r="C667" s="31" t="s">
        <v>38</v>
      </c>
      <c r="D667" s="31" t="s">
        <v>119</v>
      </c>
      <c r="E667" s="31" t="s">
        <v>45</v>
      </c>
      <c r="F667" s="33">
        <v>11.12</v>
      </c>
      <c r="G667" s="33">
        <v>4.0</v>
      </c>
      <c r="H667" s="33">
        <v>5.4488</v>
      </c>
    </row>
    <row r="668">
      <c r="A668" s="31" t="s">
        <v>740</v>
      </c>
      <c r="B668" s="32">
        <v>41950.0</v>
      </c>
      <c r="C668" s="31" t="s">
        <v>38</v>
      </c>
      <c r="D668" s="31" t="s">
        <v>79</v>
      </c>
      <c r="E668" s="31" t="s">
        <v>45</v>
      </c>
      <c r="F668" s="33">
        <v>5.92</v>
      </c>
      <c r="G668" s="33">
        <v>4.0</v>
      </c>
      <c r="H668" s="33">
        <v>2.8416</v>
      </c>
    </row>
    <row r="669">
      <c r="A669" s="31" t="s">
        <v>741</v>
      </c>
      <c r="B669" s="32">
        <v>41870.0</v>
      </c>
      <c r="C669" s="31" t="s">
        <v>38</v>
      </c>
      <c r="D669" s="31" t="s">
        <v>27</v>
      </c>
      <c r="E669" s="31" t="s">
        <v>28</v>
      </c>
      <c r="F669" s="33">
        <v>289.24</v>
      </c>
      <c r="G669" s="33">
        <v>7.0</v>
      </c>
      <c r="H669" s="33">
        <v>26.0316</v>
      </c>
    </row>
    <row r="670">
      <c r="A670" s="31" t="s">
        <v>742</v>
      </c>
      <c r="B670" s="34">
        <v>41996.0</v>
      </c>
      <c r="C670" s="31" t="s">
        <v>38</v>
      </c>
      <c r="D670" s="31" t="s">
        <v>41</v>
      </c>
      <c r="E670" s="31" t="s">
        <v>31</v>
      </c>
      <c r="F670" s="33">
        <v>5.184</v>
      </c>
      <c r="G670" s="33">
        <v>1.0</v>
      </c>
      <c r="H670" s="33">
        <v>1.8144</v>
      </c>
    </row>
    <row r="671">
      <c r="A671" s="31" t="s">
        <v>743</v>
      </c>
      <c r="B671" s="34">
        <v>41988.0</v>
      </c>
      <c r="C671" s="31" t="s">
        <v>38</v>
      </c>
      <c r="D671" s="31" t="s">
        <v>49</v>
      </c>
      <c r="E671" s="31" t="s">
        <v>31</v>
      </c>
      <c r="F671" s="33">
        <v>8.544</v>
      </c>
      <c r="G671" s="33">
        <v>2.0</v>
      </c>
      <c r="H671" s="33">
        <v>-7.476</v>
      </c>
    </row>
    <row r="672">
      <c r="A672" s="31" t="s">
        <v>744</v>
      </c>
      <c r="B672" s="32">
        <v>41782.0</v>
      </c>
      <c r="C672" s="31" t="s">
        <v>11</v>
      </c>
      <c r="D672" s="31" t="s">
        <v>79</v>
      </c>
      <c r="E672" s="31" t="s">
        <v>45</v>
      </c>
      <c r="F672" s="33">
        <v>17.96</v>
      </c>
      <c r="G672" s="33">
        <v>5.0</v>
      </c>
      <c r="H672" s="33">
        <v>5.837</v>
      </c>
    </row>
    <row r="673">
      <c r="A673" s="31" t="s">
        <v>745</v>
      </c>
      <c r="B673" s="32">
        <v>41709.0</v>
      </c>
      <c r="C673" s="31" t="s">
        <v>38</v>
      </c>
      <c r="D673" s="31" t="s">
        <v>401</v>
      </c>
      <c r="E673" s="31" t="s">
        <v>59</v>
      </c>
      <c r="F673" s="33">
        <v>146.76</v>
      </c>
      <c r="G673" s="33">
        <v>3.0</v>
      </c>
      <c r="H673" s="33">
        <v>38.1576</v>
      </c>
    </row>
    <row r="674">
      <c r="A674" s="31" t="s">
        <v>746</v>
      </c>
      <c r="B674" s="32">
        <v>41874.0</v>
      </c>
      <c r="C674" s="31" t="s">
        <v>11</v>
      </c>
      <c r="D674" s="31" t="s">
        <v>63</v>
      </c>
      <c r="E674" s="31" t="s">
        <v>28</v>
      </c>
      <c r="F674" s="33">
        <v>15.552</v>
      </c>
      <c r="G674" s="33">
        <v>3.0</v>
      </c>
      <c r="H674" s="33">
        <v>5.4432</v>
      </c>
    </row>
    <row r="675">
      <c r="A675" s="31" t="s">
        <v>747</v>
      </c>
      <c r="B675" s="32">
        <v>41761.0</v>
      </c>
      <c r="C675" s="31" t="s">
        <v>11</v>
      </c>
      <c r="D675" s="31" t="s">
        <v>75</v>
      </c>
      <c r="E675" s="31" t="s">
        <v>59</v>
      </c>
      <c r="F675" s="33">
        <v>479.984</v>
      </c>
      <c r="G675" s="33">
        <v>2.0</v>
      </c>
      <c r="H675" s="33">
        <v>89.997</v>
      </c>
    </row>
    <row r="676">
      <c r="A676" s="31" t="s">
        <v>748</v>
      </c>
      <c r="B676" s="32">
        <v>41737.0</v>
      </c>
      <c r="C676" s="31" t="s">
        <v>47</v>
      </c>
      <c r="D676" s="31" t="s">
        <v>27</v>
      </c>
      <c r="E676" s="31" t="s">
        <v>28</v>
      </c>
      <c r="F676" s="33">
        <v>99.592</v>
      </c>
      <c r="G676" s="33">
        <v>1.0</v>
      </c>
      <c r="H676" s="33">
        <v>2.4898</v>
      </c>
    </row>
    <row r="677">
      <c r="A677" s="31" t="s">
        <v>749</v>
      </c>
      <c r="B677" s="32">
        <v>41907.0</v>
      </c>
      <c r="C677" s="31" t="s">
        <v>47</v>
      </c>
      <c r="D677" s="31" t="s">
        <v>63</v>
      </c>
      <c r="E677" s="31" t="s">
        <v>28</v>
      </c>
      <c r="F677" s="33">
        <v>14.576</v>
      </c>
      <c r="G677" s="33">
        <v>2.0</v>
      </c>
      <c r="H677" s="33">
        <v>2.3686</v>
      </c>
    </row>
    <row r="678">
      <c r="A678" s="31" t="s">
        <v>750</v>
      </c>
      <c r="B678" s="32">
        <v>41979.0</v>
      </c>
      <c r="C678" s="31" t="s">
        <v>38</v>
      </c>
      <c r="D678" s="31" t="s">
        <v>27</v>
      </c>
      <c r="E678" s="31" t="s">
        <v>28</v>
      </c>
      <c r="F678" s="33">
        <v>1261.33</v>
      </c>
      <c r="G678" s="33">
        <v>7.0</v>
      </c>
      <c r="H678" s="33">
        <v>327.9458</v>
      </c>
    </row>
    <row r="679">
      <c r="A679" s="31" t="s">
        <v>751</v>
      </c>
      <c r="B679" s="32">
        <v>41860.0</v>
      </c>
      <c r="C679" s="31" t="s">
        <v>11</v>
      </c>
      <c r="D679" s="31" t="s">
        <v>27</v>
      </c>
      <c r="E679" s="31" t="s">
        <v>28</v>
      </c>
      <c r="F679" s="33">
        <v>5.98</v>
      </c>
      <c r="G679" s="33">
        <v>1.0</v>
      </c>
      <c r="H679" s="33">
        <v>2.691</v>
      </c>
    </row>
    <row r="680">
      <c r="A680" s="31" t="s">
        <v>752</v>
      </c>
      <c r="B680" s="34">
        <v>41966.0</v>
      </c>
      <c r="C680" s="31" t="s">
        <v>11</v>
      </c>
      <c r="D680" s="31" t="s">
        <v>39</v>
      </c>
      <c r="E680" s="31" t="s">
        <v>28</v>
      </c>
      <c r="F680" s="33">
        <v>23.472</v>
      </c>
      <c r="G680" s="33">
        <v>3.0</v>
      </c>
      <c r="H680" s="33">
        <v>8.802</v>
      </c>
    </row>
    <row r="681">
      <c r="A681" s="31" t="s">
        <v>753</v>
      </c>
      <c r="B681" s="32">
        <v>41903.0</v>
      </c>
      <c r="C681" s="31" t="s">
        <v>11</v>
      </c>
      <c r="D681" s="31" t="s">
        <v>77</v>
      </c>
      <c r="E681" s="31" t="s">
        <v>45</v>
      </c>
      <c r="F681" s="33">
        <v>6.57</v>
      </c>
      <c r="G681" s="33">
        <v>3.0</v>
      </c>
      <c r="H681" s="33">
        <v>-5.037</v>
      </c>
    </row>
    <row r="682">
      <c r="A682" s="31" t="s">
        <v>754</v>
      </c>
      <c r="B682" s="34">
        <v>41930.0</v>
      </c>
      <c r="C682" s="31" t="s">
        <v>11</v>
      </c>
      <c r="D682" s="31" t="s">
        <v>52</v>
      </c>
      <c r="E682" s="31" t="s">
        <v>28</v>
      </c>
      <c r="F682" s="33">
        <v>61.96</v>
      </c>
      <c r="G682" s="33">
        <v>2.0</v>
      </c>
      <c r="H682" s="33">
        <v>27.882</v>
      </c>
    </row>
    <row r="683">
      <c r="A683" s="31" t="s">
        <v>755</v>
      </c>
      <c r="B683" s="32">
        <v>41659.0</v>
      </c>
      <c r="C683" s="31" t="s">
        <v>38</v>
      </c>
      <c r="D683" s="31" t="s">
        <v>254</v>
      </c>
      <c r="E683" s="31" t="s">
        <v>59</v>
      </c>
      <c r="F683" s="33">
        <v>67.194</v>
      </c>
      <c r="G683" s="33">
        <v>1.0</v>
      </c>
      <c r="H683" s="33">
        <v>-51.5154</v>
      </c>
    </row>
    <row r="684">
      <c r="A684" s="31" t="s">
        <v>756</v>
      </c>
      <c r="B684" s="34">
        <v>41967.0</v>
      </c>
      <c r="C684" s="31" t="s">
        <v>47</v>
      </c>
      <c r="D684" s="31" t="s">
        <v>113</v>
      </c>
      <c r="E684" s="31" t="s">
        <v>59</v>
      </c>
      <c r="F684" s="33">
        <v>111.15</v>
      </c>
      <c r="G684" s="33">
        <v>5.0</v>
      </c>
      <c r="H684" s="33">
        <v>48.906</v>
      </c>
    </row>
    <row r="685">
      <c r="A685" s="31" t="s">
        <v>757</v>
      </c>
      <c r="B685" s="32">
        <v>41921.0</v>
      </c>
      <c r="C685" s="31" t="s">
        <v>38</v>
      </c>
      <c r="D685" s="31" t="s">
        <v>65</v>
      </c>
      <c r="E685" s="31" t="s">
        <v>59</v>
      </c>
      <c r="F685" s="33">
        <v>88.768</v>
      </c>
      <c r="G685" s="33">
        <v>2.0</v>
      </c>
      <c r="H685" s="33">
        <v>31.0688</v>
      </c>
    </row>
    <row r="686">
      <c r="A686" s="31" t="s">
        <v>758</v>
      </c>
      <c r="B686" s="32">
        <v>41824.0</v>
      </c>
      <c r="C686" s="31" t="s">
        <v>11</v>
      </c>
      <c r="D686" s="31" t="s">
        <v>113</v>
      </c>
      <c r="E686" s="31" t="s">
        <v>59</v>
      </c>
      <c r="F686" s="33">
        <v>21.84</v>
      </c>
      <c r="G686" s="33">
        <v>3.0</v>
      </c>
      <c r="H686" s="33">
        <v>10.92</v>
      </c>
    </row>
    <row r="687">
      <c r="A687" s="31" t="s">
        <v>759</v>
      </c>
      <c r="B687" s="32">
        <v>41751.0</v>
      </c>
      <c r="C687" s="31" t="s">
        <v>38</v>
      </c>
      <c r="D687" s="31" t="s">
        <v>79</v>
      </c>
      <c r="E687" s="31" t="s">
        <v>45</v>
      </c>
      <c r="F687" s="33">
        <v>247.84</v>
      </c>
      <c r="G687" s="33">
        <v>8.0</v>
      </c>
      <c r="H687" s="33">
        <v>121.4416</v>
      </c>
    </row>
    <row r="688">
      <c r="A688" s="31" t="s">
        <v>760</v>
      </c>
      <c r="B688" s="32">
        <v>41842.0</v>
      </c>
      <c r="C688" s="31" t="s">
        <v>11</v>
      </c>
      <c r="D688" s="31" t="s">
        <v>27</v>
      </c>
      <c r="E688" s="31" t="s">
        <v>28</v>
      </c>
      <c r="F688" s="33">
        <v>11.52</v>
      </c>
      <c r="G688" s="33">
        <v>4.0</v>
      </c>
      <c r="H688" s="33">
        <v>3.2256</v>
      </c>
    </row>
    <row r="689">
      <c r="A689" s="31" t="s">
        <v>761</v>
      </c>
      <c r="B689" s="32">
        <v>41645.0</v>
      </c>
      <c r="C689" s="31" t="s">
        <v>38</v>
      </c>
      <c r="D689" s="31" t="s">
        <v>173</v>
      </c>
      <c r="E689" s="31" t="s">
        <v>59</v>
      </c>
      <c r="F689" s="33">
        <v>12.78</v>
      </c>
      <c r="G689" s="33">
        <v>3.0</v>
      </c>
      <c r="H689" s="33">
        <v>5.2398</v>
      </c>
    </row>
    <row r="690">
      <c r="A690" s="31" t="s">
        <v>762</v>
      </c>
      <c r="B690" s="32">
        <v>41755.0</v>
      </c>
      <c r="C690" s="31" t="s">
        <v>47</v>
      </c>
      <c r="D690" s="31" t="s">
        <v>27</v>
      </c>
      <c r="E690" s="31" t="s">
        <v>28</v>
      </c>
      <c r="F690" s="33">
        <v>21.4</v>
      </c>
      <c r="G690" s="33">
        <v>5.0</v>
      </c>
      <c r="H690" s="33">
        <v>6.206</v>
      </c>
    </row>
    <row r="691">
      <c r="A691" s="31" t="s">
        <v>763</v>
      </c>
      <c r="B691" s="34">
        <v>42002.0</v>
      </c>
      <c r="C691" s="31" t="s">
        <v>47</v>
      </c>
      <c r="D691" s="31" t="s">
        <v>49</v>
      </c>
      <c r="E691" s="31" t="s">
        <v>31</v>
      </c>
      <c r="F691" s="33">
        <v>8.736</v>
      </c>
      <c r="G691" s="33">
        <v>3.0</v>
      </c>
      <c r="H691" s="33">
        <v>-4.8048</v>
      </c>
    </row>
    <row r="692">
      <c r="A692" s="31" t="s">
        <v>764</v>
      </c>
      <c r="B692" s="32">
        <v>41840.0</v>
      </c>
      <c r="C692" s="31" t="s">
        <v>11</v>
      </c>
      <c r="D692" s="31" t="s">
        <v>27</v>
      </c>
      <c r="E692" s="31" t="s">
        <v>28</v>
      </c>
      <c r="F692" s="33">
        <v>89.712</v>
      </c>
      <c r="G692" s="33">
        <v>6.0</v>
      </c>
      <c r="H692" s="33">
        <v>30.2778</v>
      </c>
    </row>
    <row r="693">
      <c r="A693" s="31" t="s">
        <v>765</v>
      </c>
      <c r="B693" s="32">
        <v>41980.0</v>
      </c>
      <c r="C693" s="31" t="s">
        <v>11</v>
      </c>
      <c r="D693" s="31" t="s">
        <v>27</v>
      </c>
      <c r="E693" s="31" t="s">
        <v>28</v>
      </c>
      <c r="F693" s="33">
        <v>8.64</v>
      </c>
      <c r="G693" s="33">
        <v>3.0</v>
      </c>
      <c r="H693" s="33">
        <v>2.4192</v>
      </c>
    </row>
    <row r="694">
      <c r="A694" s="31" t="s">
        <v>766</v>
      </c>
      <c r="B694" s="32">
        <v>41701.0</v>
      </c>
      <c r="C694" s="31" t="s">
        <v>38</v>
      </c>
      <c r="D694" s="31" t="s">
        <v>44</v>
      </c>
      <c r="E694" s="31" t="s">
        <v>45</v>
      </c>
      <c r="F694" s="33">
        <v>15.12</v>
      </c>
      <c r="G694" s="33">
        <v>3.0</v>
      </c>
      <c r="H694" s="33">
        <v>4.914</v>
      </c>
    </row>
    <row r="695">
      <c r="A695" s="31" t="s">
        <v>767</v>
      </c>
      <c r="B695" s="34">
        <v>41966.0</v>
      </c>
      <c r="C695" s="31" t="s">
        <v>38</v>
      </c>
      <c r="D695" s="31" t="s">
        <v>41</v>
      </c>
      <c r="E695" s="31" t="s">
        <v>31</v>
      </c>
      <c r="F695" s="33">
        <v>155.372</v>
      </c>
      <c r="G695" s="33">
        <v>2.0</v>
      </c>
      <c r="H695" s="33">
        <v>-35.5136</v>
      </c>
    </row>
    <row r="696">
      <c r="A696" s="31" t="s">
        <v>768</v>
      </c>
      <c r="B696" s="32">
        <v>41945.0</v>
      </c>
      <c r="C696" s="31" t="s">
        <v>47</v>
      </c>
      <c r="D696" s="31" t="s">
        <v>75</v>
      </c>
      <c r="E696" s="31" t="s">
        <v>59</v>
      </c>
      <c r="F696" s="33">
        <v>799.92</v>
      </c>
      <c r="G696" s="33">
        <v>10.0</v>
      </c>
      <c r="H696" s="33">
        <v>239.976</v>
      </c>
    </row>
    <row r="697">
      <c r="A697" s="31" t="s">
        <v>769</v>
      </c>
      <c r="B697" s="32">
        <v>41884.0</v>
      </c>
      <c r="C697" s="31" t="s">
        <v>38</v>
      </c>
      <c r="D697" s="31" t="s">
        <v>41</v>
      </c>
      <c r="E697" s="31" t="s">
        <v>31</v>
      </c>
      <c r="F697" s="33">
        <v>559.71</v>
      </c>
      <c r="G697" s="33">
        <v>3.0</v>
      </c>
      <c r="H697" s="33">
        <v>-121.2705</v>
      </c>
    </row>
    <row r="698">
      <c r="A698" s="31" t="s">
        <v>770</v>
      </c>
      <c r="B698" s="32">
        <v>41763.0</v>
      </c>
      <c r="C698" s="31" t="s">
        <v>11</v>
      </c>
      <c r="D698" s="31" t="s">
        <v>41</v>
      </c>
      <c r="E698" s="31" t="s">
        <v>31</v>
      </c>
      <c r="F698" s="33">
        <v>37.84</v>
      </c>
      <c r="G698" s="33">
        <v>2.0</v>
      </c>
      <c r="H698" s="33">
        <v>2.838</v>
      </c>
    </row>
    <row r="699">
      <c r="A699" s="31" t="s">
        <v>771</v>
      </c>
      <c r="B699" s="34">
        <v>41961.0</v>
      </c>
      <c r="C699" s="31" t="s">
        <v>11</v>
      </c>
      <c r="D699" s="31" t="s">
        <v>49</v>
      </c>
      <c r="E699" s="31" t="s">
        <v>31</v>
      </c>
      <c r="F699" s="33">
        <v>292.1</v>
      </c>
      <c r="G699" s="33">
        <v>4.0</v>
      </c>
      <c r="H699" s="33">
        <v>-175.26</v>
      </c>
    </row>
    <row r="700">
      <c r="A700" s="31" t="s">
        <v>772</v>
      </c>
      <c r="B700" s="32">
        <v>41727.0</v>
      </c>
      <c r="C700" s="31" t="s">
        <v>11</v>
      </c>
      <c r="D700" s="31" t="s">
        <v>41</v>
      </c>
      <c r="E700" s="31" t="s">
        <v>31</v>
      </c>
      <c r="F700" s="33">
        <v>890.841</v>
      </c>
      <c r="G700" s="33">
        <v>3.0</v>
      </c>
      <c r="H700" s="33">
        <v>-152.7156</v>
      </c>
    </row>
    <row r="701">
      <c r="A701" s="31" t="s">
        <v>773</v>
      </c>
      <c r="B701" s="32">
        <v>41716.0</v>
      </c>
      <c r="C701" s="31" t="s">
        <v>47</v>
      </c>
      <c r="D701" s="31" t="s">
        <v>27</v>
      </c>
      <c r="E701" s="31" t="s">
        <v>28</v>
      </c>
      <c r="F701" s="33">
        <v>111.0</v>
      </c>
      <c r="G701" s="33">
        <v>2.0</v>
      </c>
      <c r="H701" s="33">
        <v>14.43</v>
      </c>
    </row>
    <row r="702">
      <c r="A702" s="31" t="s">
        <v>774</v>
      </c>
      <c r="B702" s="34">
        <v>41993.0</v>
      </c>
      <c r="C702" s="31" t="s">
        <v>38</v>
      </c>
      <c r="D702" s="31" t="s">
        <v>79</v>
      </c>
      <c r="E702" s="31" t="s">
        <v>45</v>
      </c>
      <c r="F702" s="33">
        <v>192.186</v>
      </c>
      <c r="G702" s="33">
        <v>3.0</v>
      </c>
      <c r="H702" s="33">
        <v>36.3018</v>
      </c>
    </row>
    <row r="703">
      <c r="A703" s="31" t="s">
        <v>775</v>
      </c>
      <c r="B703" s="32">
        <v>41846.0</v>
      </c>
      <c r="C703" s="31" t="s">
        <v>11</v>
      </c>
      <c r="D703" s="31" t="s">
        <v>173</v>
      </c>
      <c r="E703" s="31" t="s">
        <v>59</v>
      </c>
      <c r="F703" s="33">
        <v>67.88</v>
      </c>
      <c r="G703" s="33">
        <v>2.0</v>
      </c>
      <c r="H703" s="33">
        <v>18.3276</v>
      </c>
    </row>
    <row r="704">
      <c r="A704" s="31" t="s">
        <v>776</v>
      </c>
      <c r="B704" s="34">
        <v>41999.0</v>
      </c>
      <c r="C704" s="31" t="s">
        <v>11</v>
      </c>
      <c r="D704" s="31" t="s">
        <v>79</v>
      </c>
      <c r="E704" s="31" t="s">
        <v>45</v>
      </c>
      <c r="F704" s="33">
        <v>191.88</v>
      </c>
      <c r="G704" s="33">
        <v>6.0</v>
      </c>
      <c r="H704" s="33">
        <v>19.188</v>
      </c>
    </row>
    <row r="705">
      <c r="A705" s="31" t="s">
        <v>777</v>
      </c>
      <c r="B705" s="32">
        <v>41701.0</v>
      </c>
      <c r="C705" s="31" t="s">
        <v>11</v>
      </c>
      <c r="D705" s="31" t="s">
        <v>41</v>
      </c>
      <c r="E705" s="31" t="s">
        <v>31</v>
      </c>
      <c r="F705" s="33">
        <v>176.772</v>
      </c>
      <c r="G705" s="33">
        <v>3.0</v>
      </c>
      <c r="H705" s="33">
        <v>-459.6072</v>
      </c>
    </row>
    <row r="706">
      <c r="A706" s="31" t="s">
        <v>778</v>
      </c>
      <c r="B706" s="34">
        <v>42003.0</v>
      </c>
      <c r="C706" s="31" t="s">
        <v>38</v>
      </c>
      <c r="D706" s="31" t="s">
        <v>77</v>
      </c>
      <c r="E706" s="31" t="s">
        <v>45</v>
      </c>
      <c r="F706" s="33">
        <v>251.964</v>
      </c>
      <c r="G706" s="33">
        <v>6.0</v>
      </c>
      <c r="H706" s="33">
        <v>-50.3928</v>
      </c>
    </row>
    <row r="707">
      <c r="A707" s="31" t="s">
        <v>779</v>
      </c>
      <c r="B707" s="34">
        <v>41940.0</v>
      </c>
      <c r="C707" s="31" t="s">
        <v>38</v>
      </c>
      <c r="D707" s="31" t="s">
        <v>433</v>
      </c>
      <c r="E707" s="31" t="s">
        <v>31</v>
      </c>
      <c r="F707" s="33">
        <v>257.98</v>
      </c>
      <c r="G707" s="33">
        <v>2.0</v>
      </c>
      <c r="H707" s="33">
        <v>74.8142</v>
      </c>
    </row>
    <row r="708">
      <c r="A708" s="31" t="s">
        <v>780</v>
      </c>
      <c r="B708" s="32">
        <v>41901.0</v>
      </c>
      <c r="C708" s="31" t="s">
        <v>38</v>
      </c>
      <c r="D708" s="31" t="s">
        <v>52</v>
      </c>
      <c r="E708" s="31" t="s">
        <v>28</v>
      </c>
      <c r="F708" s="33">
        <v>92.52</v>
      </c>
      <c r="G708" s="33">
        <v>6.0</v>
      </c>
      <c r="H708" s="33">
        <v>24.9804</v>
      </c>
    </row>
    <row r="709">
      <c r="A709" s="31" t="s">
        <v>781</v>
      </c>
      <c r="B709" s="32">
        <v>41912.0</v>
      </c>
      <c r="C709" s="31" t="s">
        <v>38</v>
      </c>
      <c r="D709" s="31" t="s">
        <v>44</v>
      </c>
      <c r="E709" s="31" t="s">
        <v>45</v>
      </c>
      <c r="F709" s="33">
        <v>795.408</v>
      </c>
      <c r="G709" s="33">
        <v>6.0</v>
      </c>
      <c r="H709" s="33">
        <v>59.6556</v>
      </c>
    </row>
    <row r="710">
      <c r="A710" s="31" t="s">
        <v>782</v>
      </c>
      <c r="B710" s="32">
        <v>41832.0</v>
      </c>
      <c r="C710" s="31" t="s">
        <v>11</v>
      </c>
      <c r="D710" s="31" t="s">
        <v>49</v>
      </c>
      <c r="E710" s="31" t="s">
        <v>31</v>
      </c>
      <c r="F710" s="33">
        <v>35.856</v>
      </c>
      <c r="G710" s="33">
        <v>9.0</v>
      </c>
      <c r="H710" s="33">
        <v>12.9978</v>
      </c>
    </row>
    <row r="711">
      <c r="A711" s="31" t="s">
        <v>783</v>
      </c>
      <c r="B711" s="32">
        <v>41737.0</v>
      </c>
      <c r="C711" s="31" t="s">
        <v>11</v>
      </c>
      <c r="D711" s="31" t="s">
        <v>44</v>
      </c>
      <c r="E711" s="31" t="s">
        <v>45</v>
      </c>
      <c r="F711" s="33">
        <v>172.11</v>
      </c>
      <c r="G711" s="33">
        <v>1.0</v>
      </c>
      <c r="H711" s="33">
        <v>-94.6605</v>
      </c>
    </row>
    <row r="712">
      <c r="A712" s="31" t="s">
        <v>784</v>
      </c>
      <c r="B712" s="32">
        <v>41843.0</v>
      </c>
      <c r="C712" s="31" t="s">
        <v>11</v>
      </c>
      <c r="D712" s="31" t="s">
        <v>79</v>
      </c>
      <c r="E712" s="31" t="s">
        <v>45</v>
      </c>
      <c r="F712" s="33">
        <v>99.98</v>
      </c>
      <c r="G712" s="33">
        <v>2.0</v>
      </c>
      <c r="H712" s="33">
        <v>7.9984</v>
      </c>
    </row>
    <row r="713">
      <c r="A713" s="31" t="s">
        <v>785</v>
      </c>
      <c r="B713" s="32">
        <v>41715.0</v>
      </c>
      <c r="C713" s="31" t="s">
        <v>38</v>
      </c>
      <c r="D713" s="31" t="s">
        <v>111</v>
      </c>
      <c r="E713" s="31" t="s">
        <v>59</v>
      </c>
      <c r="F713" s="33">
        <v>11.43</v>
      </c>
      <c r="G713" s="33">
        <v>3.0</v>
      </c>
      <c r="H713" s="33">
        <v>5.3721</v>
      </c>
    </row>
    <row r="714">
      <c r="A714" s="31" t="s">
        <v>786</v>
      </c>
      <c r="B714" s="32">
        <v>41860.0</v>
      </c>
      <c r="C714" s="31" t="s">
        <v>11</v>
      </c>
      <c r="D714" s="31" t="s">
        <v>39</v>
      </c>
      <c r="E714" s="31" t="s">
        <v>28</v>
      </c>
      <c r="F714" s="33">
        <v>4.464</v>
      </c>
      <c r="G714" s="33">
        <v>3.0</v>
      </c>
      <c r="H714" s="33">
        <v>-0.9486</v>
      </c>
    </row>
    <row r="715">
      <c r="A715" s="31" t="s">
        <v>787</v>
      </c>
      <c r="B715" s="32">
        <v>41685.0</v>
      </c>
      <c r="C715" s="31" t="s">
        <v>38</v>
      </c>
      <c r="D715" s="31" t="s">
        <v>52</v>
      </c>
      <c r="E715" s="31" t="s">
        <v>28</v>
      </c>
      <c r="F715" s="33">
        <v>21.36</v>
      </c>
      <c r="G715" s="33">
        <v>5.0</v>
      </c>
      <c r="H715" s="33">
        <v>7.209</v>
      </c>
    </row>
    <row r="716">
      <c r="A716" s="31" t="s">
        <v>788</v>
      </c>
      <c r="B716" s="32">
        <v>41982.0</v>
      </c>
      <c r="C716" s="31" t="s">
        <v>38</v>
      </c>
      <c r="D716" s="31" t="s">
        <v>41</v>
      </c>
      <c r="E716" s="31" t="s">
        <v>31</v>
      </c>
      <c r="F716" s="33">
        <v>10.688</v>
      </c>
      <c r="G716" s="33">
        <v>2.0</v>
      </c>
      <c r="H716" s="33">
        <v>3.7408</v>
      </c>
    </row>
    <row r="717">
      <c r="A717" s="31" t="s">
        <v>789</v>
      </c>
      <c r="B717" s="32">
        <v>41897.0</v>
      </c>
      <c r="C717" s="31" t="s">
        <v>11</v>
      </c>
      <c r="D717" s="31" t="s">
        <v>79</v>
      </c>
      <c r="E717" s="31" t="s">
        <v>45</v>
      </c>
      <c r="F717" s="33">
        <v>14.94</v>
      </c>
      <c r="G717" s="33">
        <v>3.0</v>
      </c>
      <c r="H717" s="33">
        <v>7.0218</v>
      </c>
    </row>
    <row r="718">
      <c r="A718" s="31" t="s">
        <v>790</v>
      </c>
      <c r="B718" s="32">
        <v>41645.0</v>
      </c>
      <c r="C718" s="31" t="s">
        <v>47</v>
      </c>
      <c r="D718" s="31" t="s">
        <v>401</v>
      </c>
      <c r="E718" s="31" t="s">
        <v>59</v>
      </c>
      <c r="F718" s="33">
        <v>2573.82</v>
      </c>
      <c r="G718" s="33">
        <v>9.0</v>
      </c>
      <c r="H718" s="33">
        <v>746.4078</v>
      </c>
    </row>
    <row r="719">
      <c r="A719" s="31" t="s">
        <v>791</v>
      </c>
      <c r="B719" s="32">
        <v>41905.0</v>
      </c>
      <c r="C719" s="31" t="s">
        <v>47</v>
      </c>
      <c r="D719" s="31" t="s">
        <v>79</v>
      </c>
      <c r="E719" s="31" t="s">
        <v>45</v>
      </c>
      <c r="F719" s="33">
        <v>18.464</v>
      </c>
      <c r="G719" s="33">
        <v>4.0</v>
      </c>
      <c r="H719" s="33">
        <v>6.924</v>
      </c>
    </row>
    <row r="720">
      <c r="A720" s="31" t="s">
        <v>792</v>
      </c>
      <c r="B720" s="34">
        <v>41988.0</v>
      </c>
      <c r="C720" s="31" t="s">
        <v>38</v>
      </c>
      <c r="D720" s="31" t="s">
        <v>77</v>
      </c>
      <c r="E720" s="31" t="s">
        <v>45</v>
      </c>
      <c r="F720" s="33">
        <v>445.802</v>
      </c>
      <c r="G720" s="33">
        <v>7.0</v>
      </c>
      <c r="H720" s="33">
        <v>-108.2662</v>
      </c>
    </row>
    <row r="721">
      <c r="A721" s="31" t="s">
        <v>793</v>
      </c>
      <c r="B721" s="32">
        <v>41945.0</v>
      </c>
      <c r="C721" s="31" t="s">
        <v>11</v>
      </c>
      <c r="D721" s="31" t="s">
        <v>27</v>
      </c>
      <c r="E721" s="31" t="s">
        <v>28</v>
      </c>
      <c r="F721" s="33">
        <v>46.384</v>
      </c>
      <c r="G721" s="33">
        <v>2.0</v>
      </c>
      <c r="H721" s="33">
        <v>5.2182</v>
      </c>
    </row>
    <row r="722">
      <c r="A722" s="31" t="s">
        <v>794</v>
      </c>
      <c r="B722" s="32">
        <v>41892.0</v>
      </c>
      <c r="C722" s="31" t="s">
        <v>11</v>
      </c>
      <c r="D722" s="31" t="s">
        <v>211</v>
      </c>
      <c r="E722" s="31" t="s">
        <v>28</v>
      </c>
      <c r="F722" s="33">
        <v>21.728</v>
      </c>
      <c r="G722" s="33">
        <v>7.0</v>
      </c>
      <c r="H722" s="33">
        <v>7.6048</v>
      </c>
    </row>
    <row r="723">
      <c r="A723" s="31" t="s">
        <v>795</v>
      </c>
      <c r="B723" s="34">
        <v>41922.0</v>
      </c>
      <c r="C723" s="31" t="s">
        <v>38</v>
      </c>
      <c r="D723" s="31" t="s">
        <v>41</v>
      </c>
      <c r="E723" s="31" t="s">
        <v>31</v>
      </c>
      <c r="F723" s="33">
        <v>719.952</v>
      </c>
      <c r="G723" s="33">
        <v>6.0</v>
      </c>
      <c r="H723" s="33">
        <v>71.9952</v>
      </c>
    </row>
    <row r="724">
      <c r="A724" s="31" t="s">
        <v>796</v>
      </c>
      <c r="B724" s="34">
        <v>41963.0</v>
      </c>
      <c r="C724" s="31" t="s">
        <v>38</v>
      </c>
      <c r="D724" s="31" t="s">
        <v>79</v>
      </c>
      <c r="E724" s="31" t="s">
        <v>45</v>
      </c>
      <c r="F724" s="33">
        <v>34.74</v>
      </c>
      <c r="G724" s="33">
        <v>3.0</v>
      </c>
      <c r="H724" s="33">
        <v>17.37</v>
      </c>
    </row>
    <row r="725">
      <c r="A725" s="31" t="s">
        <v>797</v>
      </c>
      <c r="B725" s="32">
        <v>41769.0</v>
      </c>
      <c r="C725" s="31" t="s">
        <v>11</v>
      </c>
      <c r="D725" s="31" t="s">
        <v>77</v>
      </c>
      <c r="E725" s="31" t="s">
        <v>45</v>
      </c>
      <c r="F725" s="33">
        <v>349.965</v>
      </c>
      <c r="G725" s="33">
        <v>7.0</v>
      </c>
      <c r="H725" s="33">
        <v>-216.9783</v>
      </c>
    </row>
    <row r="726">
      <c r="A726" s="31" t="s">
        <v>798</v>
      </c>
      <c r="B726" s="32">
        <v>41944.0</v>
      </c>
      <c r="C726" s="31" t="s">
        <v>11</v>
      </c>
      <c r="D726" s="31" t="s">
        <v>79</v>
      </c>
      <c r="E726" s="31" t="s">
        <v>45</v>
      </c>
      <c r="F726" s="33">
        <v>533.94</v>
      </c>
      <c r="G726" s="33">
        <v>3.0</v>
      </c>
      <c r="H726" s="33">
        <v>154.8426</v>
      </c>
    </row>
    <row r="727">
      <c r="A727" s="31" t="s">
        <v>799</v>
      </c>
      <c r="B727" s="32">
        <v>41978.0</v>
      </c>
      <c r="C727" s="31" t="s">
        <v>11</v>
      </c>
      <c r="D727" s="31" t="s">
        <v>27</v>
      </c>
      <c r="E727" s="31" t="s">
        <v>28</v>
      </c>
      <c r="F727" s="33">
        <v>26.46</v>
      </c>
      <c r="G727" s="33">
        <v>9.0</v>
      </c>
      <c r="H727" s="33">
        <v>11.907</v>
      </c>
    </row>
    <row r="728">
      <c r="A728" s="31" t="s">
        <v>800</v>
      </c>
      <c r="B728" s="34">
        <v>41933.0</v>
      </c>
      <c r="C728" s="31" t="s">
        <v>38</v>
      </c>
      <c r="D728" s="31" t="s">
        <v>113</v>
      </c>
      <c r="E728" s="31" t="s">
        <v>59</v>
      </c>
      <c r="F728" s="33">
        <v>194.7</v>
      </c>
      <c r="G728" s="33">
        <v>5.0</v>
      </c>
      <c r="H728" s="33">
        <v>9.735</v>
      </c>
    </row>
    <row r="729">
      <c r="A729" s="31" t="s">
        <v>801</v>
      </c>
      <c r="B729" s="32">
        <v>41945.0</v>
      </c>
      <c r="C729" s="31" t="s">
        <v>38</v>
      </c>
      <c r="D729" s="31" t="s">
        <v>52</v>
      </c>
      <c r="E729" s="31" t="s">
        <v>28</v>
      </c>
      <c r="F729" s="33">
        <v>41.94</v>
      </c>
      <c r="G729" s="33">
        <v>2.0</v>
      </c>
      <c r="H729" s="33">
        <v>15.0984</v>
      </c>
    </row>
    <row r="730">
      <c r="A730" s="31" t="s">
        <v>802</v>
      </c>
      <c r="B730" s="32">
        <v>41719.0</v>
      </c>
      <c r="C730" s="31" t="s">
        <v>38</v>
      </c>
      <c r="D730" s="31" t="s">
        <v>113</v>
      </c>
      <c r="E730" s="31" t="s">
        <v>59</v>
      </c>
      <c r="F730" s="33">
        <v>3499.93</v>
      </c>
      <c r="G730" s="33">
        <v>7.0</v>
      </c>
      <c r="H730" s="33">
        <v>909.9818</v>
      </c>
    </row>
    <row r="731">
      <c r="A731" s="31" t="s">
        <v>803</v>
      </c>
      <c r="B731" s="32">
        <v>41899.0</v>
      </c>
      <c r="C731" s="31" t="s">
        <v>11</v>
      </c>
      <c r="D731" s="31" t="s">
        <v>211</v>
      </c>
      <c r="E731" s="31" t="s">
        <v>28</v>
      </c>
      <c r="F731" s="33">
        <v>5.248</v>
      </c>
      <c r="G731" s="33">
        <v>2.0</v>
      </c>
      <c r="H731" s="33">
        <v>0.4592</v>
      </c>
    </row>
    <row r="732">
      <c r="A732" s="31" t="s">
        <v>804</v>
      </c>
      <c r="B732" s="32">
        <v>41692.0</v>
      </c>
      <c r="C732" s="31" t="s">
        <v>11</v>
      </c>
      <c r="D732" s="31" t="s">
        <v>27</v>
      </c>
      <c r="E732" s="31" t="s">
        <v>28</v>
      </c>
      <c r="F732" s="33">
        <v>19.44</v>
      </c>
      <c r="G732" s="33">
        <v>3.0</v>
      </c>
      <c r="H732" s="33">
        <v>9.3312</v>
      </c>
    </row>
    <row r="733">
      <c r="A733" s="31" t="s">
        <v>805</v>
      </c>
      <c r="B733" s="34">
        <v>41973.0</v>
      </c>
      <c r="C733" s="31" t="s">
        <v>38</v>
      </c>
      <c r="D733" s="31" t="s">
        <v>75</v>
      </c>
      <c r="E733" s="31" t="s">
        <v>59</v>
      </c>
      <c r="F733" s="33">
        <v>6.642</v>
      </c>
      <c r="G733" s="33">
        <v>9.0</v>
      </c>
      <c r="H733" s="33">
        <v>-4.428</v>
      </c>
    </row>
    <row r="734">
      <c r="A734" s="31" t="s">
        <v>806</v>
      </c>
      <c r="B734" s="34">
        <v>41968.0</v>
      </c>
      <c r="C734" s="31" t="s">
        <v>11</v>
      </c>
      <c r="D734" s="31" t="s">
        <v>27</v>
      </c>
      <c r="E734" s="31" t="s">
        <v>28</v>
      </c>
      <c r="F734" s="33">
        <v>539.92</v>
      </c>
      <c r="G734" s="33">
        <v>5.0</v>
      </c>
      <c r="H734" s="33">
        <v>47.243</v>
      </c>
    </row>
    <row r="735">
      <c r="A735" s="31" t="s">
        <v>807</v>
      </c>
      <c r="B735" s="32">
        <v>41834.0</v>
      </c>
      <c r="C735" s="31" t="s">
        <v>47</v>
      </c>
      <c r="D735" s="31" t="s">
        <v>119</v>
      </c>
      <c r="E735" s="31" t="s">
        <v>45</v>
      </c>
      <c r="F735" s="33">
        <v>39.48</v>
      </c>
      <c r="G735" s="33">
        <v>1.0</v>
      </c>
      <c r="H735" s="33">
        <v>11.0544</v>
      </c>
    </row>
    <row r="736">
      <c r="A736" s="31" t="s">
        <v>808</v>
      </c>
      <c r="B736" s="32">
        <v>41728.0</v>
      </c>
      <c r="C736" s="31" t="s">
        <v>47</v>
      </c>
      <c r="D736" s="31" t="s">
        <v>41</v>
      </c>
      <c r="E736" s="31" t="s">
        <v>31</v>
      </c>
      <c r="F736" s="33">
        <v>335.72</v>
      </c>
      <c r="G736" s="33">
        <v>5.0</v>
      </c>
      <c r="H736" s="33">
        <v>113.3055</v>
      </c>
    </row>
    <row r="737">
      <c r="A737" s="31" t="s">
        <v>809</v>
      </c>
      <c r="B737" s="32">
        <v>41891.0</v>
      </c>
      <c r="C737" s="31" t="s">
        <v>11</v>
      </c>
      <c r="D737" s="31" t="s">
        <v>65</v>
      </c>
      <c r="E737" s="31" t="s">
        <v>59</v>
      </c>
      <c r="F737" s="33">
        <v>1299.99</v>
      </c>
      <c r="G737" s="33">
        <v>2.0</v>
      </c>
      <c r="H737" s="33">
        <v>-571.9956</v>
      </c>
    </row>
    <row r="738">
      <c r="A738" s="31" t="s">
        <v>810</v>
      </c>
      <c r="B738" s="32">
        <v>41744.0</v>
      </c>
      <c r="C738" s="31" t="s">
        <v>47</v>
      </c>
      <c r="D738" s="31" t="s">
        <v>27</v>
      </c>
      <c r="E738" s="31" t="s">
        <v>28</v>
      </c>
      <c r="F738" s="33">
        <v>106.96</v>
      </c>
      <c r="G738" s="33">
        <v>2.0</v>
      </c>
      <c r="H738" s="33">
        <v>31.0184</v>
      </c>
    </row>
    <row r="739">
      <c r="A739" s="31" t="s">
        <v>811</v>
      </c>
      <c r="B739" s="32">
        <v>41646.0</v>
      </c>
      <c r="C739" s="31" t="s">
        <v>11</v>
      </c>
      <c r="D739" s="31" t="s">
        <v>41</v>
      </c>
      <c r="E739" s="31" t="s">
        <v>31</v>
      </c>
      <c r="F739" s="33">
        <v>76.728</v>
      </c>
      <c r="G739" s="33">
        <v>3.0</v>
      </c>
      <c r="H739" s="33">
        <v>-53.7096</v>
      </c>
    </row>
    <row r="740">
      <c r="A740" s="31" t="s">
        <v>812</v>
      </c>
      <c r="B740" s="34">
        <v>41934.0</v>
      </c>
      <c r="C740" s="31" t="s">
        <v>38</v>
      </c>
      <c r="D740" s="31" t="s">
        <v>58</v>
      </c>
      <c r="E740" s="31" t="s">
        <v>59</v>
      </c>
      <c r="F740" s="33">
        <v>129.92</v>
      </c>
      <c r="G740" s="33">
        <v>4.0</v>
      </c>
      <c r="H740" s="33">
        <v>10.3936</v>
      </c>
    </row>
    <row r="741">
      <c r="A741" s="31" t="s">
        <v>813</v>
      </c>
      <c r="B741" s="32">
        <v>41920.0</v>
      </c>
      <c r="C741" s="31" t="s">
        <v>11</v>
      </c>
      <c r="D741" s="31" t="s">
        <v>65</v>
      </c>
      <c r="E741" s="31" t="s">
        <v>59</v>
      </c>
      <c r="F741" s="33">
        <v>23.472</v>
      </c>
      <c r="G741" s="33">
        <v>3.0</v>
      </c>
      <c r="H741" s="33">
        <v>4.9878</v>
      </c>
    </row>
    <row r="742">
      <c r="A742" s="31" t="s">
        <v>814</v>
      </c>
      <c r="B742" s="34">
        <v>42004.0</v>
      </c>
      <c r="C742" s="31" t="s">
        <v>47</v>
      </c>
      <c r="D742" s="31" t="s">
        <v>457</v>
      </c>
      <c r="E742" s="31" t="s">
        <v>45</v>
      </c>
      <c r="F742" s="33">
        <v>195.64</v>
      </c>
      <c r="G742" s="33">
        <v>4.0</v>
      </c>
      <c r="H742" s="33">
        <v>91.9508</v>
      </c>
    </row>
    <row r="743">
      <c r="A743" s="31" t="s">
        <v>815</v>
      </c>
      <c r="B743" s="34">
        <v>42002.0</v>
      </c>
      <c r="C743" s="31" t="s">
        <v>11</v>
      </c>
      <c r="D743" s="31" t="s">
        <v>27</v>
      </c>
      <c r="E743" s="31" t="s">
        <v>28</v>
      </c>
      <c r="F743" s="33">
        <v>88.8</v>
      </c>
      <c r="G743" s="33">
        <v>6.0</v>
      </c>
      <c r="H743" s="33">
        <v>44.4</v>
      </c>
    </row>
    <row r="744">
      <c r="A744" s="31" t="s">
        <v>816</v>
      </c>
      <c r="B744" s="34">
        <v>41937.0</v>
      </c>
      <c r="C744" s="31" t="s">
        <v>11</v>
      </c>
      <c r="D744" s="31" t="s">
        <v>77</v>
      </c>
      <c r="E744" s="31" t="s">
        <v>45</v>
      </c>
      <c r="F744" s="33">
        <v>40.776</v>
      </c>
      <c r="G744" s="33">
        <v>3.0</v>
      </c>
      <c r="H744" s="33">
        <v>0.5097</v>
      </c>
    </row>
    <row r="745">
      <c r="A745" s="31" t="s">
        <v>817</v>
      </c>
      <c r="B745" s="32">
        <v>41978.0</v>
      </c>
      <c r="C745" s="31" t="s">
        <v>11</v>
      </c>
      <c r="D745" s="31" t="s">
        <v>27</v>
      </c>
      <c r="E745" s="31" t="s">
        <v>28</v>
      </c>
      <c r="F745" s="33">
        <v>250.26</v>
      </c>
      <c r="G745" s="33">
        <v>6.0</v>
      </c>
      <c r="H745" s="33">
        <v>72.5754</v>
      </c>
    </row>
    <row r="746">
      <c r="A746" s="31" t="s">
        <v>818</v>
      </c>
      <c r="B746" s="32">
        <v>41789.0</v>
      </c>
      <c r="C746" s="31" t="s">
        <v>11</v>
      </c>
      <c r="D746" s="31" t="s">
        <v>79</v>
      </c>
      <c r="E746" s="31" t="s">
        <v>45</v>
      </c>
      <c r="F746" s="33">
        <v>70.368</v>
      </c>
      <c r="G746" s="33">
        <v>4.0</v>
      </c>
      <c r="H746" s="33">
        <v>26.388</v>
      </c>
    </row>
    <row r="747">
      <c r="A747" s="31" t="s">
        <v>819</v>
      </c>
      <c r="B747" s="34">
        <v>41964.0</v>
      </c>
      <c r="C747" s="31" t="s">
        <v>47</v>
      </c>
      <c r="D747" s="31" t="s">
        <v>27</v>
      </c>
      <c r="E747" s="31" t="s">
        <v>28</v>
      </c>
      <c r="F747" s="33">
        <v>6.58</v>
      </c>
      <c r="G747" s="33">
        <v>2.0</v>
      </c>
      <c r="H747" s="33">
        <v>3.0268</v>
      </c>
    </row>
    <row r="748">
      <c r="A748" s="31" t="s">
        <v>820</v>
      </c>
      <c r="B748" s="32">
        <v>41979.0</v>
      </c>
      <c r="C748" s="31" t="s">
        <v>11</v>
      </c>
      <c r="D748" s="31" t="s">
        <v>254</v>
      </c>
      <c r="E748" s="31" t="s">
        <v>59</v>
      </c>
      <c r="F748" s="33">
        <v>42.208</v>
      </c>
      <c r="G748" s="33">
        <v>2.0</v>
      </c>
      <c r="H748" s="33">
        <v>13.7176</v>
      </c>
    </row>
    <row r="749">
      <c r="A749" s="31" t="s">
        <v>821</v>
      </c>
      <c r="B749" s="34">
        <v>42000.0</v>
      </c>
      <c r="C749" s="31" t="s">
        <v>47</v>
      </c>
      <c r="D749" s="31" t="s">
        <v>27</v>
      </c>
      <c r="E749" s="31" t="s">
        <v>28</v>
      </c>
      <c r="F749" s="33">
        <v>10.98</v>
      </c>
      <c r="G749" s="33">
        <v>1.0</v>
      </c>
      <c r="H749" s="33">
        <v>2.9646</v>
      </c>
    </row>
    <row r="750">
      <c r="A750" s="31" t="s">
        <v>822</v>
      </c>
      <c r="B750" s="34">
        <v>41972.0</v>
      </c>
      <c r="C750" s="31" t="s">
        <v>11</v>
      </c>
      <c r="D750" s="31" t="s">
        <v>79</v>
      </c>
      <c r="E750" s="31" t="s">
        <v>45</v>
      </c>
      <c r="F750" s="33">
        <v>25.06</v>
      </c>
      <c r="G750" s="33">
        <v>2.0</v>
      </c>
      <c r="H750" s="33">
        <v>11.7782</v>
      </c>
    </row>
    <row r="751">
      <c r="A751" s="31" t="s">
        <v>823</v>
      </c>
      <c r="B751" s="32">
        <v>41722.0</v>
      </c>
      <c r="C751" s="31" t="s">
        <v>11</v>
      </c>
      <c r="D751" s="31" t="s">
        <v>27</v>
      </c>
      <c r="E751" s="31" t="s">
        <v>28</v>
      </c>
      <c r="F751" s="33">
        <v>40.48</v>
      </c>
      <c r="G751" s="33">
        <v>2.0</v>
      </c>
      <c r="H751" s="33">
        <v>14.5728</v>
      </c>
    </row>
    <row r="752">
      <c r="A752" s="31" t="s">
        <v>824</v>
      </c>
      <c r="B752" s="32">
        <v>41877.0</v>
      </c>
      <c r="C752" s="31" t="s">
        <v>47</v>
      </c>
      <c r="D752" s="31" t="s">
        <v>119</v>
      </c>
      <c r="E752" s="31" t="s">
        <v>45</v>
      </c>
      <c r="F752" s="33">
        <v>8.64</v>
      </c>
      <c r="G752" s="33">
        <v>3.0</v>
      </c>
      <c r="H752" s="33">
        <v>2.5056</v>
      </c>
    </row>
    <row r="753">
      <c r="A753" s="31" t="s">
        <v>825</v>
      </c>
      <c r="B753" s="32">
        <v>41775.0</v>
      </c>
      <c r="C753" s="31" t="s">
        <v>38</v>
      </c>
      <c r="D753" s="31" t="s">
        <v>27</v>
      </c>
      <c r="E753" s="31" t="s">
        <v>28</v>
      </c>
      <c r="F753" s="33">
        <v>232.88</v>
      </c>
      <c r="G753" s="33">
        <v>5.0</v>
      </c>
      <c r="H753" s="33">
        <v>17.466</v>
      </c>
    </row>
    <row r="754">
      <c r="A754" s="31" t="s">
        <v>826</v>
      </c>
      <c r="B754" s="32">
        <v>41726.0</v>
      </c>
      <c r="C754" s="31" t="s">
        <v>11</v>
      </c>
      <c r="D754" s="31" t="s">
        <v>827</v>
      </c>
      <c r="E754" s="31" t="s">
        <v>31</v>
      </c>
      <c r="F754" s="33">
        <v>6.12</v>
      </c>
      <c r="G754" s="33">
        <v>3.0</v>
      </c>
      <c r="H754" s="33">
        <v>2.8764</v>
      </c>
    </row>
    <row r="755">
      <c r="A755" s="31" t="s">
        <v>828</v>
      </c>
      <c r="B755" s="32">
        <v>41748.0</v>
      </c>
      <c r="C755" s="31" t="s">
        <v>11</v>
      </c>
      <c r="D755" s="31" t="s">
        <v>113</v>
      </c>
      <c r="E755" s="31" t="s">
        <v>59</v>
      </c>
      <c r="F755" s="33">
        <v>58.05</v>
      </c>
      <c r="G755" s="33">
        <v>3.0</v>
      </c>
      <c r="H755" s="33">
        <v>26.703</v>
      </c>
    </row>
    <row r="756">
      <c r="A756" s="31" t="s">
        <v>829</v>
      </c>
      <c r="B756" s="32">
        <v>41982.0</v>
      </c>
      <c r="C756" s="31" t="s">
        <v>38</v>
      </c>
      <c r="D756" s="31" t="s">
        <v>49</v>
      </c>
      <c r="E756" s="31" t="s">
        <v>31</v>
      </c>
      <c r="F756" s="33">
        <v>8.448</v>
      </c>
      <c r="G756" s="33">
        <v>2.0</v>
      </c>
      <c r="H756" s="33">
        <v>2.9568</v>
      </c>
    </row>
    <row r="757">
      <c r="A757" s="31" t="s">
        <v>830</v>
      </c>
      <c r="B757" s="32">
        <v>41789.0</v>
      </c>
      <c r="C757" s="31" t="s">
        <v>38</v>
      </c>
      <c r="D757" s="31" t="s">
        <v>79</v>
      </c>
      <c r="E757" s="31" t="s">
        <v>45</v>
      </c>
      <c r="F757" s="33">
        <v>25.584</v>
      </c>
      <c r="G757" s="33">
        <v>2.0</v>
      </c>
      <c r="H757" s="33">
        <v>8.9544</v>
      </c>
    </row>
    <row r="758">
      <c r="A758" s="31" t="s">
        <v>831</v>
      </c>
      <c r="B758" s="34">
        <v>41962.0</v>
      </c>
      <c r="C758" s="31" t="s">
        <v>47</v>
      </c>
      <c r="D758" s="31" t="s">
        <v>33</v>
      </c>
      <c r="E758" s="31" t="s">
        <v>28</v>
      </c>
      <c r="F758" s="33">
        <v>166.44</v>
      </c>
      <c r="G758" s="33">
        <v>3.0</v>
      </c>
      <c r="H758" s="33">
        <v>79.8912</v>
      </c>
    </row>
    <row r="759">
      <c r="A759" s="31" t="s">
        <v>832</v>
      </c>
      <c r="B759" s="32">
        <v>41699.0</v>
      </c>
      <c r="C759" s="31" t="s">
        <v>11</v>
      </c>
      <c r="D759" s="31" t="s">
        <v>41</v>
      </c>
      <c r="E759" s="31" t="s">
        <v>31</v>
      </c>
      <c r="F759" s="33">
        <v>18.84</v>
      </c>
      <c r="G759" s="33">
        <v>5.0</v>
      </c>
      <c r="H759" s="33">
        <v>-3.5325</v>
      </c>
    </row>
    <row r="760">
      <c r="A760" s="31" t="s">
        <v>833</v>
      </c>
      <c r="B760" s="32">
        <v>41730.0</v>
      </c>
      <c r="C760" s="31" t="s">
        <v>38</v>
      </c>
      <c r="D760" s="31" t="s">
        <v>176</v>
      </c>
      <c r="E760" s="31" t="s">
        <v>45</v>
      </c>
      <c r="F760" s="33">
        <v>66.96</v>
      </c>
      <c r="G760" s="33">
        <v>4.0</v>
      </c>
      <c r="H760" s="33">
        <v>2.6784</v>
      </c>
    </row>
    <row r="761">
      <c r="A761" s="31" t="s">
        <v>834</v>
      </c>
      <c r="B761" s="32">
        <v>41790.0</v>
      </c>
      <c r="C761" s="31" t="s">
        <v>11</v>
      </c>
      <c r="D761" s="31" t="s">
        <v>111</v>
      </c>
      <c r="E761" s="31" t="s">
        <v>59</v>
      </c>
      <c r="F761" s="33">
        <v>659.97</v>
      </c>
      <c r="G761" s="33">
        <v>3.0</v>
      </c>
      <c r="H761" s="33">
        <v>197.991</v>
      </c>
    </row>
    <row r="762">
      <c r="A762" s="31" t="s">
        <v>835</v>
      </c>
      <c r="B762" s="32">
        <v>41642.0</v>
      </c>
      <c r="C762" s="31" t="s">
        <v>11</v>
      </c>
      <c r="D762" s="31" t="s">
        <v>41</v>
      </c>
      <c r="E762" s="31" t="s">
        <v>31</v>
      </c>
      <c r="F762" s="33">
        <v>16.448</v>
      </c>
      <c r="G762" s="33">
        <v>2.0</v>
      </c>
      <c r="H762" s="33">
        <v>5.5512</v>
      </c>
    </row>
    <row r="763">
      <c r="A763" s="31" t="s">
        <v>836</v>
      </c>
      <c r="B763" s="32">
        <v>41892.0</v>
      </c>
      <c r="C763" s="31" t="s">
        <v>11</v>
      </c>
      <c r="D763" s="31" t="s">
        <v>72</v>
      </c>
      <c r="E763" s="31" t="s">
        <v>45</v>
      </c>
      <c r="F763" s="33">
        <v>81.92</v>
      </c>
      <c r="G763" s="33">
        <v>4.0</v>
      </c>
      <c r="H763" s="33">
        <v>22.1184</v>
      </c>
    </row>
    <row r="764">
      <c r="A764" s="31" t="s">
        <v>837</v>
      </c>
      <c r="B764" s="32">
        <v>41763.0</v>
      </c>
      <c r="C764" s="31" t="s">
        <v>38</v>
      </c>
      <c r="D764" s="31" t="s">
        <v>52</v>
      </c>
      <c r="E764" s="31" t="s">
        <v>28</v>
      </c>
      <c r="F764" s="33">
        <v>12.18</v>
      </c>
      <c r="G764" s="33">
        <v>7.0</v>
      </c>
      <c r="H764" s="33">
        <v>3.8976</v>
      </c>
    </row>
    <row r="765">
      <c r="A765" s="31" t="s">
        <v>838</v>
      </c>
      <c r="B765" s="32">
        <v>41974.0</v>
      </c>
      <c r="C765" s="31" t="s">
        <v>11</v>
      </c>
      <c r="D765" s="31" t="s">
        <v>176</v>
      </c>
      <c r="E765" s="31" t="s">
        <v>45</v>
      </c>
      <c r="F765" s="33">
        <v>271.9</v>
      </c>
      <c r="G765" s="33">
        <v>2.0</v>
      </c>
      <c r="H765" s="33">
        <v>78.851</v>
      </c>
    </row>
    <row r="766">
      <c r="A766" s="31" t="s">
        <v>839</v>
      </c>
      <c r="B766" s="32">
        <v>41715.0</v>
      </c>
      <c r="C766" s="31" t="s">
        <v>38</v>
      </c>
      <c r="D766" s="31" t="s">
        <v>77</v>
      </c>
      <c r="E766" s="31" t="s">
        <v>45</v>
      </c>
      <c r="F766" s="33">
        <v>126.624</v>
      </c>
      <c r="G766" s="33">
        <v>6.0</v>
      </c>
      <c r="H766" s="33">
        <v>41.1528</v>
      </c>
    </row>
    <row r="767">
      <c r="A767" s="31" t="s">
        <v>840</v>
      </c>
      <c r="B767" s="32">
        <v>41891.0</v>
      </c>
      <c r="C767" s="31" t="s">
        <v>47</v>
      </c>
      <c r="D767" s="31" t="s">
        <v>44</v>
      </c>
      <c r="E767" s="31" t="s">
        <v>45</v>
      </c>
      <c r="F767" s="33">
        <v>60.672</v>
      </c>
      <c r="G767" s="33">
        <v>6.0</v>
      </c>
      <c r="H767" s="33">
        <v>12.8928</v>
      </c>
    </row>
    <row r="768">
      <c r="A768" s="31" t="s">
        <v>841</v>
      </c>
      <c r="B768" s="32">
        <v>41841.0</v>
      </c>
      <c r="C768" s="31" t="s">
        <v>38</v>
      </c>
      <c r="D768" s="31" t="s">
        <v>41</v>
      </c>
      <c r="E768" s="31" t="s">
        <v>31</v>
      </c>
      <c r="F768" s="33">
        <v>4.992</v>
      </c>
      <c r="G768" s="33">
        <v>3.0</v>
      </c>
      <c r="H768" s="33">
        <v>-12.9792</v>
      </c>
    </row>
    <row r="769">
      <c r="A769" s="31" t="s">
        <v>842</v>
      </c>
      <c r="B769" s="32">
        <v>41908.0</v>
      </c>
      <c r="C769" s="31" t="s">
        <v>38</v>
      </c>
      <c r="D769" s="31" t="s">
        <v>77</v>
      </c>
      <c r="E769" s="31" t="s">
        <v>45</v>
      </c>
      <c r="F769" s="33">
        <v>5.97</v>
      </c>
      <c r="G769" s="33">
        <v>5.0</v>
      </c>
      <c r="H769" s="33">
        <v>-4.577</v>
      </c>
    </row>
    <row r="770">
      <c r="A770" s="31" t="s">
        <v>843</v>
      </c>
      <c r="B770" s="32">
        <v>41834.0</v>
      </c>
      <c r="C770" s="31" t="s">
        <v>38</v>
      </c>
      <c r="D770" s="31" t="s">
        <v>79</v>
      </c>
      <c r="E770" s="31" t="s">
        <v>45</v>
      </c>
      <c r="F770" s="33">
        <v>17.94</v>
      </c>
      <c r="G770" s="33">
        <v>3.0</v>
      </c>
      <c r="H770" s="33">
        <v>4.485</v>
      </c>
    </row>
    <row r="771">
      <c r="A771" s="31" t="s">
        <v>844</v>
      </c>
      <c r="B771" s="32">
        <v>41980.0</v>
      </c>
      <c r="C771" s="31" t="s">
        <v>47</v>
      </c>
      <c r="D771" s="31" t="s">
        <v>52</v>
      </c>
      <c r="E771" s="31" t="s">
        <v>28</v>
      </c>
      <c r="F771" s="33">
        <v>269.36</v>
      </c>
      <c r="G771" s="33">
        <v>7.0</v>
      </c>
      <c r="H771" s="33">
        <v>70.0336</v>
      </c>
    </row>
    <row r="772">
      <c r="A772" s="31" t="s">
        <v>845</v>
      </c>
      <c r="B772" s="32">
        <v>41982.0</v>
      </c>
      <c r="C772" s="31" t="s">
        <v>11</v>
      </c>
      <c r="D772" s="31" t="s">
        <v>77</v>
      </c>
      <c r="E772" s="31" t="s">
        <v>45</v>
      </c>
      <c r="F772" s="33">
        <v>30.672</v>
      </c>
      <c r="G772" s="33">
        <v>3.0</v>
      </c>
      <c r="H772" s="33">
        <v>9.585</v>
      </c>
    </row>
    <row r="773">
      <c r="A773" s="31" t="s">
        <v>846</v>
      </c>
      <c r="B773" s="32">
        <v>41840.0</v>
      </c>
      <c r="C773" s="31" t="s">
        <v>38</v>
      </c>
      <c r="D773" s="31" t="s">
        <v>27</v>
      </c>
      <c r="E773" s="31" t="s">
        <v>28</v>
      </c>
      <c r="F773" s="33">
        <v>41.94</v>
      </c>
      <c r="G773" s="33">
        <v>2.0</v>
      </c>
      <c r="H773" s="33">
        <v>15.0984</v>
      </c>
    </row>
    <row r="774">
      <c r="A774" s="31" t="s">
        <v>847</v>
      </c>
      <c r="B774" s="32">
        <v>41952.0</v>
      </c>
      <c r="C774" s="31" t="s">
        <v>47</v>
      </c>
      <c r="D774" s="31" t="s">
        <v>79</v>
      </c>
      <c r="E774" s="31" t="s">
        <v>45</v>
      </c>
      <c r="F774" s="33">
        <v>56.52</v>
      </c>
      <c r="G774" s="33">
        <v>9.0</v>
      </c>
      <c r="H774" s="33">
        <v>21.4776</v>
      </c>
    </row>
    <row r="775">
      <c r="A775" s="31" t="s">
        <v>848</v>
      </c>
      <c r="B775" s="32">
        <v>41810.0</v>
      </c>
      <c r="C775" s="31" t="s">
        <v>11</v>
      </c>
      <c r="D775" s="31" t="s">
        <v>248</v>
      </c>
      <c r="E775" s="31" t="s">
        <v>31</v>
      </c>
      <c r="F775" s="33">
        <v>471.9</v>
      </c>
      <c r="G775" s="33">
        <v>6.0</v>
      </c>
      <c r="H775" s="33">
        <v>155.727</v>
      </c>
    </row>
    <row r="776">
      <c r="A776" s="31" t="s">
        <v>849</v>
      </c>
      <c r="B776" s="32">
        <v>41665.0</v>
      </c>
      <c r="C776" s="31" t="s">
        <v>38</v>
      </c>
      <c r="D776" s="31" t="s">
        <v>382</v>
      </c>
      <c r="E776" s="31" t="s">
        <v>31</v>
      </c>
      <c r="F776" s="33">
        <v>10.68</v>
      </c>
      <c r="G776" s="33">
        <v>2.0</v>
      </c>
      <c r="H776" s="33">
        <v>5.0196</v>
      </c>
    </row>
    <row r="777">
      <c r="A777" s="31" t="s">
        <v>850</v>
      </c>
      <c r="B777" s="32">
        <v>41829.0</v>
      </c>
      <c r="C777" s="31" t="s">
        <v>47</v>
      </c>
      <c r="D777" s="31" t="s">
        <v>27</v>
      </c>
      <c r="E777" s="31" t="s">
        <v>28</v>
      </c>
      <c r="F777" s="33">
        <v>2.88</v>
      </c>
      <c r="G777" s="33">
        <v>1.0</v>
      </c>
      <c r="H777" s="33">
        <v>1.4112</v>
      </c>
    </row>
    <row r="778">
      <c r="A778" s="31" t="s">
        <v>851</v>
      </c>
      <c r="B778" s="32">
        <v>41915.0</v>
      </c>
      <c r="C778" s="31" t="s">
        <v>11</v>
      </c>
      <c r="D778" s="31" t="s">
        <v>41</v>
      </c>
      <c r="E778" s="31" t="s">
        <v>31</v>
      </c>
      <c r="F778" s="33">
        <v>4.344</v>
      </c>
      <c r="G778" s="33">
        <v>3.0</v>
      </c>
      <c r="H778" s="33">
        <v>0.8688</v>
      </c>
    </row>
    <row r="779">
      <c r="A779" s="31" t="s">
        <v>852</v>
      </c>
      <c r="B779" s="32">
        <v>41688.0</v>
      </c>
      <c r="C779" s="31" t="s">
        <v>11</v>
      </c>
      <c r="D779" s="31" t="s">
        <v>41</v>
      </c>
      <c r="E779" s="31" t="s">
        <v>31</v>
      </c>
      <c r="F779" s="33">
        <v>12.624</v>
      </c>
      <c r="G779" s="33">
        <v>2.0</v>
      </c>
      <c r="H779" s="33">
        <v>-2.5248</v>
      </c>
    </row>
    <row r="780">
      <c r="A780" s="31" t="s">
        <v>853</v>
      </c>
      <c r="B780" s="32">
        <v>41904.0</v>
      </c>
      <c r="C780" s="31" t="s">
        <v>11</v>
      </c>
      <c r="D780" s="31" t="s">
        <v>27</v>
      </c>
      <c r="E780" s="31" t="s">
        <v>28</v>
      </c>
      <c r="F780" s="33">
        <v>169.45</v>
      </c>
      <c r="G780" s="33">
        <v>5.0</v>
      </c>
      <c r="H780" s="33">
        <v>42.3625</v>
      </c>
    </row>
    <row r="781">
      <c r="A781" s="31" t="s">
        <v>854</v>
      </c>
      <c r="B781" s="32">
        <v>41883.0</v>
      </c>
      <c r="C781" s="31" t="s">
        <v>11</v>
      </c>
      <c r="D781" s="31" t="s">
        <v>79</v>
      </c>
      <c r="E781" s="31" t="s">
        <v>45</v>
      </c>
      <c r="F781" s="33">
        <v>23.744</v>
      </c>
      <c r="G781" s="33">
        <v>2.0</v>
      </c>
      <c r="H781" s="33">
        <v>8.3104</v>
      </c>
    </row>
    <row r="782">
      <c r="A782" s="31" t="s">
        <v>855</v>
      </c>
      <c r="B782" s="32">
        <v>41863.0</v>
      </c>
      <c r="C782" s="31" t="s">
        <v>11</v>
      </c>
      <c r="D782" s="31" t="s">
        <v>27</v>
      </c>
      <c r="E782" s="31" t="s">
        <v>28</v>
      </c>
      <c r="F782" s="33">
        <v>806.336</v>
      </c>
      <c r="G782" s="33">
        <v>8.0</v>
      </c>
      <c r="H782" s="33">
        <v>50.396</v>
      </c>
    </row>
    <row r="783">
      <c r="A783" s="31" t="s">
        <v>856</v>
      </c>
      <c r="B783" s="32">
        <v>41870.0</v>
      </c>
      <c r="C783" s="31" t="s">
        <v>38</v>
      </c>
      <c r="D783" s="31" t="s">
        <v>173</v>
      </c>
      <c r="E783" s="31" t="s">
        <v>59</v>
      </c>
      <c r="F783" s="33">
        <v>344.91</v>
      </c>
      <c r="G783" s="33">
        <v>3.0</v>
      </c>
      <c r="H783" s="33">
        <v>10.3473</v>
      </c>
    </row>
    <row r="784">
      <c r="A784" s="31" t="s">
        <v>857</v>
      </c>
      <c r="B784" s="34">
        <v>42003.0</v>
      </c>
      <c r="C784" s="31" t="s">
        <v>11</v>
      </c>
      <c r="D784" s="31" t="s">
        <v>79</v>
      </c>
      <c r="E784" s="31" t="s">
        <v>45</v>
      </c>
      <c r="F784" s="33">
        <v>122.94</v>
      </c>
      <c r="G784" s="33">
        <v>3.0</v>
      </c>
      <c r="H784" s="33">
        <v>30.735</v>
      </c>
    </row>
    <row r="785">
      <c r="A785" s="31" t="s">
        <v>858</v>
      </c>
      <c r="B785" s="32">
        <v>41758.0</v>
      </c>
      <c r="C785" s="31" t="s">
        <v>11</v>
      </c>
      <c r="D785" s="31" t="s">
        <v>119</v>
      </c>
      <c r="E785" s="31" t="s">
        <v>45</v>
      </c>
      <c r="F785" s="33">
        <v>19.98</v>
      </c>
      <c r="G785" s="33">
        <v>2.0</v>
      </c>
      <c r="H785" s="33">
        <v>5.1948</v>
      </c>
    </row>
    <row r="786">
      <c r="A786" s="31" t="s">
        <v>859</v>
      </c>
      <c r="B786" s="32">
        <v>41863.0</v>
      </c>
      <c r="C786" s="31" t="s">
        <v>47</v>
      </c>
      <c r="D786" s="31" t="s">
        <v>75</v>
      </c>
      <c r="E786" s="31" t="s">
        <v>59</v>
      </c>
      <c r="F786" s="33">
        <v>31.104</v>
      </c>
      <c r="G786" s="33">
        <v>6.0</v>
      </c>
      <c r="H786" s="33">
        <v>10.8864</v>
      </c>
    </row>
    <row r="787">
      <c r="A787" s="31" t="s">
        <v>860</v>
      </c>
      <c r="B787" s="32">
        <v>41709.0</v>
      </c>
      <c r="C787" s="31" t="s">
        <v>11</v>
      </c>
      <c r="D787" s="31" t="s">
        <v>27</v>
      </c>
      <c r="E787" s="31" t="s">
        <v>28</v>
      </c>
      <c r="F787" s="33">
        <v>7.98</v>
      </c>
      <c r="G787" s="33">
        <v>3.0</v>
      </c>
      <c r="H787" s="33">
        <v>2.0748</v>
      </c>
    </row>
    <row r="788">
      <c r="A788" s="31" t="s">
        <v>861</v>
      </c>
      <c r="B788" s="34">
        <v>41943.0</v>
      </c>
      <c r="C788" s="31" t="s">
        <v>47</v>
      </c>
      <c r="D788" s="31" t="s">
        <v>27</v>
      </c>
      <c r="E788" s="31" t="s">
        <v>28</v>
      </c>
      <c r="F788" s="33">
        <v>73.584</v>
      </c>
      <c r="G788" s="33">
        <v>2.0</v>
      </c>
      <c r="H788" s="33">
        <v>8.2782</v>
      </c>
    </row>
    <row r="789">
      <c r="A789" s="31" t="s">
        <v>862</v>
      </c>
      <c r="B789" s="32">
        <v>41699.0</v>
      </c>
      <c r="C789" s="31" t="s">
        <v>11</v>
      </c>
      <c r="D789" s="31" t="s">
        <v>41</v>
      </c>
      <c r="E789" s="31" t="s">
        <v>31</v>
      </c>
      <c r="F789" s="33">
        <v>137.352</v>
      </c>
      <c r="G789" s="33">
        <v>3.0</v>
      </c>
      <c r="H789" s="33">
        <v>8.5845</v>
      </c>
    </row>
    <row r="790">
      <c r="A790" s="31" t="s">
        <v>863</v>
      </c>
      <c r="B790" s="32">
        <v>41832.0</v>
      </c>
      <c r="C790" s="31" t="s">
        <v>47</v>
      </c>
      <c r="D790" s="31" t="s">
        <v>41</v>
      </c>
      <c r="E790" s="31" t="s">
        <v>31</v>
      </c>
      <c r="F790" s="33">
        <v>512.358</v>
      </c>
      <c r="G790" s="33">
        <v>3.0</v>
      </c>
      <c r="H790" s="33">
        <v>-14.6388</v>
      </c>
    </row>
    <row r="791">
      <c r="A791" s="31" t="s">
        <v>864</v>
      </c>
      <c r="B791" s="34">
        <v>42000.0</v>
      </c>
      <c r="C791" s="31" t="s">
        <v>38</v>
      </c>
      <c r="D791" s="31" t="s">
        <v>189</v>
      </c>
      <c r="E791" s="31" t="s">
        <v>59</v>
      </c>
      <c r="F791" s="33">
        <v>23.92</v>
      </c>
      <c r="G791" s="33">
        <v>4.0</v>
      </c>
      <c r="H791" s="33">
        <v>11.7208</v>
      </c>
    </row>
    <row r="792">
      <c r="A792" s="31" t="s">
        <v>865</v>
      </c>
      <c r="B792" s="34">
        <v>41957.0</v>
      </c>
      <c r="C792" s="31" t="s">
        <v>11</v>
      </c>
      <c r="D792" s="31" t="s">
        <v>113</v>
      </c>
      <c r="E792" s="31" t="s">
        <v>59</v>
      </c>
      <c r="F792" s="33">
        <v>32.4</v>
      </c>
      <c r="G792" s="33">
        <v>5.0</v>
      </c>
      <c r="H792" s="33">
        <v>15.552</v>
      </c>
    </row>
    <row r="793">
      <c r="A793" s="31" t="s">
        <v>866</v>
      </c>
      <c r="B793" s="32">
        <v>41719.0</v>
      </c>
      <c r="C793" s="31" t="s">
        <v>11</v>
      </c>
      <c r="D793" s="31" t="s">
        <v>254</v>
      </c>
      <c r="E793" s="31" t="s">
        <v>59</v>
      </c>
      <c r="F793" s="33">
        <v>59.2</v>
      </c>
      <c r="G793" s="33">
        <v>5.0</v>
      </c>
      <c r="H793" s="33">
        <v>22.2</v>
      </c>
    </row>
    <row r="794">
      <c r="A794" s="31" t="s">
        <v>867</v>
      </c>
      <c r="B794" s="32">
        <v>41740.0</v>
      </c>
      <c r="C794" s="31" t="s">
        <v>11</v>
      </c>
      <c r="D794" s="31" t="s">
        <v>354</v>
      </c>
      <c r="E794" s="31" t="s">
        <v>28</v>
      </c>
      <c r="F794" s="33">
        <v>87.08</v>
      </c>
      <c r="G794" s="33">
        <v>7.0</v>
      </c>
      <c r="H794" s="33">
        <v>24.3824</v>
      </c>
    </row>
    <row r="795">
      <c r="A795" s="31" t="s">
        <v>868</v>
      </c>
      <c r="B795" s="32">
        <v>41889.0</v>
      </c>
      <c r="C795" s="31" t="s">
        <v>38</v>
      </c>
      <c r="D795" s="31" t="s">
        <v>27</v>
      </c>
      <c r="E795" s="31" t="s">
        <v>28</v>
      </c>
      <c r="F795" s="33">
        <v>27.36</v>
      </c>
      <c r="G795" s="33">
        <v>4.0</v>
      </c>
      <c r="H795" s="33">
        <v>7.3872</v>
      </c>
    </row>
    <row r="796">
      <c r="A796" s="31" t="s">
        <v>869</v>
      </c>
      <c r="B796" s="34">
        <v>42000.0</v>
      </c>
      <c r="C796" s="31" t="s">
        <v>11</v>
      </c>
      <c r="D796" s="31" t="s">
        <v>41</v>
      </c>
      <c r="E796" s="31" t="s">
        <v>31</v>
      </c>
      <c r="F796" s="33">
        <v>4.984</v>
      </c>
      <c r="G796" s="33">
        <v>1.0</v>
      </c>
      <c r="H796" s="33">
        <v>-8.4728</v>
      </c>
    </row>
    <row r="797">
      <c r="A797" s="31" t="s">
        <v>870</v>
      </c>
      <c r="B797" s="32">
        <v>41891.0</v>
      </c>
      <c r="C797" s="31" t="s">
        <v>11</v>
      </c>
      <c r="D797" s="31" t="s">
        <v>49</v>
      </c>
      <c r="E797" s="31" t="s">
        <v>31</v>
      </c>
      <c r="F797" s="33">
        <v>10.896</v>
      </c>
      <c r="G797" s="33">
        <v>3.0</v>
      </c>
      <c r="H797" s="33">
        <v>3.405</v>
      </c>
    </row>
    <row r="798">
      <c r="A798" s="31" t="s">
        <v>871</v>
      </c>
      <c r="B798" s="32">
        <v>41944.0</v>
      </c>
      <c r="C798" s="31" t="s">
        <v>38</v>
      </c>
      <c r="D798" s="31" t="s">
        <v>72</v>
      </c>
      <c r="E798" s="31" t="s">
        <v>45</v>
      </c>
      <c r="F798" s="33">
        <v>76.12</v>
      </c>
      <c r="G798" s="33">
        <v>2.0</v>
      </c>
      <c r="H798" s="33">
        <v>22.0748</v>
      </c>
    </row>
    <row r="799">
      <c r="A799" s="31" t="s">
        <v>872</v>
      </c>
      <c r="B799" s="32">
        <v>41820.0</v>
      </c>
      <c r="C799" s="31" t="s">
        <v>11</v>
      </c>
      <c r="D799" s="31" t="s">
        <v>65</v>
      </c>
      <c r="E799" s="31" t="s">
        <v>59</v>
      </c>
      <c r="F799" s="33">
        <v>310.688</v>
      </c>
      <c r="G799" s="33">
        <v>7.0</v>
      </c>
      <c r="H799" s="33">
        <v>108.7408</v>
      </c>
    </row>
    <row r="800">
      <c r="A800" s="31" t="s">
        <v>873</v>
      </c>
      <c r="B800" s="32">
        <v>41885.0</v>
      </c>
      <c r="C800" s="31" t="s">
        <v>47</v>
      </c>
      <c r="D800" s="31" t="s">
        <v>41</v>
      </c>
      <c r="E800" s="31" t="s">
        <v>31</v>
      </c>
      <c r="F800" s="33">
        <v>7.68</v>
      </c>
      <c r="G800" s="33">
        <v>5.0</v>
      </c>
      <c r="H800" s="33">
        <v>-11.52</v>
      </c>
    </row>
    <row r="801">
      <c r="A801" s="31" t="s">
        <v>874</v>
      </c>
      <c r="B801" s="32">
        <v>41728.0</v>
      </c>
      <c r="C801" s="31" t="s">
        <v>11</v>
      </c>
      <c r="D801" s="31" t="s">
        <v>67</v>
      </c>
      <c r="E801" s="31" t="s">
        <v>31</v>
      </c>
      <c r="F801" s="33">
        <v>129.3</v>
      </c>
      <c r="G801" s="33">
        <v>2.0</v>
      </c>
      <c r="H801" s="33">
        <v>6.465</v>
      </c>
    </row>
    <row r="802">
      <c r="A802" s="31" t="s">
        <v>875</v>
      </c>
      <c r="B802" s="32">
        <v>41896.0</v>
      </c>
      <c r="C802" s="31" t="s">
        <v>38</v>
      </c>
      <c r="D802" s="31" t="s">
        <v>41</v>
      </c>
      <c r="E802" s="31" t="s">
        <v>31</v>
      </c>
      <c r="F802" s="33">
        <v>6.048</v>
      </c>
      <c r="G802" s="33">
        <v>4.0</v>
      </c>
      <c r="H802" s="33">
        <v>-1.3608</v>
      </c>
    </row>
    <row r="803">
      <c r="A803" s="31" t="s">
        <v>876</v>
      </c>
      <c r="B803" s="32">
        <v>41787.0</v>
      </c>
      <c r="C803" s="31" t="s">
        <v>11</v>
      </c>
      <c r="D803" s="31" t="s">
        <v>52</v>
      </c>
      <c r="E803" s="31" t="s">
        <v>28</v>
      </c>
      <c r="F803" s="33">
        <v>136.96</v>
      </c>
      <c r="G803" s="33">
        <v>4.0</v>
      </c>
      <c r="H803" s="33">
        <v>51.36</v>
      </c>
    </row>
    <row r="804">
      <c r="A804" s="31" t="s">
        <v>877</v>
      </c>
      <c r="B804" s="32">
        <v>41757.0</v>
      </c>
      <c r="C804" s="31" t="s">
        <v>11</v>
      </c>
      <c r="D804" s="31" t="s">
        <v>27</v>
      </c>
      <c r="E804" s="31" t="s">
        <v>28</v>
      </c>
      <c r="F804" s="33">
        <v>1679.96</v>
      </c>
      <c r="G804" s="33">
        <v>5.0</v>
      </c>
      <c r="H804" s="33">
        <v>125.997</v>
      </c>
    </row>
    <row r="805">
      <c r="A805" s="31" t="s">
        <v>878</v>
      </c>
      <c r="B805" s="32">
        <v>41876.0</v>
      </c>
      <c r="C805" s="31" t="s">
        <v>11</v>
      </c>
      <c r="D805" s="31" t="s">
        <v>41</v>
      </c>
      <c r="E805" s="31" t="s">
        <v>31</v>
      </c>
      <c r="F805" s="33">
        <v>25.68</v>
      </c>
      <c r="G805" s="33">
        <v>3.0</v>
      </c>
      <c r="H805" s="33">
        <v>-39.804</v>
      </c>
    </row>
    <row r="806">
      <c r="A806" s="31" t="s">
        <v>879</v>
      </c>
      <c r="B806" s="32">
        <v>41881.0</v>
      </c>
      <c r="C806" s="31" t="s">
        <v>11</v>
      </c>
      <c r="D806" s="31" t="s">
        <v>192</v>
      </c>
      <c r="E806" s="31" t="s">
        <v>45</v>
      </c>
      <c r="F806" s="33">
        <v>25.3</v>
      </c>
      <c r="G806" s="33">
        <v>5.0</v>
      </c>
      <c r="H806" s="33">
        <v>11.891</v>
      </c>
    </row>
    <row r="807">
      <c r="A807" s="31" t="s">
        <v>880</v>
      </c>
      <c r="B807" s="32">
        <v>41726.0</v>
      </c>
      <c r="C807" s="31" t="s">
        <v>47</v>
      </c>
      <c r="D807" s="31" t="s">
        <v>407</v>
      </c>
      <c r="E807" s="31" t="s">
        <v>28</v>
      </c>
      <c r="F807" s="33">
        <v>302.376</v>
      </c>
      <c r="G807" s="33">
        <v>3.0</v>
      </c>
      <c r="H807" s="33">
        <v>22.6782</v>
      </c>
    </row>
    <row r="808">
      <c r="A808" s="31" t="s">
        <v>881</v>
      </c>
      <c r="B808" s="32">
        <v>41841.0</v>
      </c>
      <c r="C808" s="31" t="s">
        <v>11</v>
      </c>
      <c r="D808" s="31" t="s">
        <v>332</v>
      </c>
      <c r="E808" s="31" t="s">
        <v>31</v>
      </c>
      <c r="F808" s="33">
        <v>35.98</v>
      </c>
      <c r="G808" s="33">
        <v>2.0</v>
      </c>
      <c r="H808" s="33">
        <v>10.0744</v>
      </c>
    </row>
    <row r="809">
      <c r="A809" s="31" t="s">
        <v>882</v>
      </c>
      <c r="B809" s="32">
        <v>41703.0</v>
      </c>
      <c r="C809" s="31" t="s">
        <v>11</v>
      </c>
      <c r="D809" s="31" t="s">
        <v>79</v>
      </c>
      <c r="E809" s="31" t="s">
        <v>45</v>
      </c>
      <c r="F809" s="33">
        <v>59.52</v>
      </c>
      <c r="G809" s="33">
        <v>3.0</v>
      </c>
      <c r="H809" s="33">
        <v>15.4752</v>
      </c>
    </row>
    <row r="810">
      <c r="A810" s="31" t="s">
        <v>883</v>
      </c>
      <c r="B810" s="32">
        <v>41690.0</v>
      </c>
      <c r="C810" s="31" t="s">
        <v>47</v>
      </c>
      <c r="D810" s="31" t="s">
        <v>27</v>
      </c>
      <c r="E810" s="31" t="s">
        <v>28</v>
      </c>
      <c r="F810" s="33">
        <v>12.96</v>
      </c>
      <c r="G810" s="33">
        <v>2.0</v>
      </c>
      <c r="H810" s="33">
        <v>6.2208</v>
      </c>
    </row>
    <row r="811">
      <c r="A811" s="31" t="s">
        <v>884</v>
      </c>
      <c r="B811" s="32">
        <v>41775.0</v>
      </c>
      <c r="C811" s="31" t="s">
        <v>11</v>
      </c>
      <c r="D811" s="31" t="s">
        <v>27</v>
      </c>
      <c r="E811" s="31" t="s">
        <v>28</v>
      </c>
      <c r="F811" s="33">
        <v>56.4</v>
      </c>
      <c r="G811" s="33">
        <v>3.0</v>
      </c>
      <c r="H811" s="33">
        <v>3.384</v>
      </c>
    </row>
    <row r="812">
      <c r="A812" s="31" t="s">
        <v>885</v>
      </c>
      <c r="B812" s="32">
        <v>41857.0</v>
      </c>
      <c r="C812" s="31" t="s">
        <v>11</v>
      </c>
      <c r="D812" s="31" t="s">
        <v>79</v>
      </c>
      <c r="E812" s="31" t="s">
        <v>45</v>
      </c>
      <c r="F812" s="33">
        <v>199.98</v>
      </c>
      <c r="G812" s="33">
        <v>2.0</v>
      </c>
      <c r="H812" s="33">
        <v>83.9916</v>
      </c>
    </row>
    <row r="813">
      <c r="A813" s="31" t="s">
        <v>886</v>
      </c>
      <c r="B813" s="32">
        <v>41789.0</v>
      </c>
      <c r="C813" s="31" t="s">
        <v>38</v>
      </c>
      <c r="D813" s="31" t="s">
        <v>49</v>
      </c>
      <c r="E813" s="31" t="s">
        <v>31</v>
      </c>
      <c r="F813" s="33">
        <v>719.976</v>
      </c>
      <c r="G813" s="33">
        <v>3.0</v>
      </c>
      <c r="H813" s="33">
        <v>134.9955</v>
      </c>
    </row>
    <row r="814">
      <c r="A814" s="31" t="s">
        <v>887</v>
      </c>
      <c r="B814" s="34">
        <v>41971.0</v>
      </c>
      <c r="C814" s="31" t="s">
        <v>11</v>
      </c>
      <c r="D814" s="31" t="s">
        <v>41</v>
      </c>
      <c r="E814" s="31" t="s">
        <v>31</v>
      </c>
      <c r="F814" s="33">
        <v>998.85</v>
      </c>
      <c r="G814" s="33">
        <v>5.0</v>
      </c>
      <c r="H814" s="33">
        <v>-199.77</v>
      </c>
    </row>
    <row r="815">
      <c r="A815" s="31" t="s">
        <v>888</v>
      </c>
      <c r="B815" s="32">
        <v>41901.0</v>
      </c>
      <c r="C815" s="31" t="s">
        <v>47</v>
      </c>
      <c r="D815" s="31" t="s">
        <v>27</v>
      </c>
      <c r="E815" s="31" t="s">
        <v>28</v>
      </c>
      <c r="F815" s="33">
        <v>5.67</v>
      </c>
      <c r="G815" s="33">
        <v>3.0</v>
      </c>
      <c r="H815" s="33">
        <v>0.1134</v>
      </c>
    </row>
    <row r="816">
      <c r="A816" s="31" t="s">
        <v>889</v>
      </c>
      <c r="B816" s="32">
        <v>41779.0</v>
      </c>
      <c r="C816" s="31" t="s">
        <v>38</v>
      </c>
      <c r="D816" s="31" t="s">
        <v>41</v>
      </c>
      <c r="E816" s="31" t="s">
        <v>31</v>
      </c>
      <c r="F816" s="33">
        <v>10.332</v>
      </c>
      <c r="G816" s="33">
        <v>3.0</v>
      </c>
      <c r="H816" s="33">
        <v>-5.9409</v>
      </c>
    </row>
    <row r="817">
      <c r="A817" s="31" t="s">
        <v>890</v>
      </c>
      <c r="B817" s="32">
        <v>41674.0</v>
      </c>
      <c r="C817" s="31" t="s">
        <v>38</v>
      </c>
      <c r="D817" s="31" t="s">
        <v>27</v>
      </c>
      <c r="E817" s="31" t="s">
        <v>28</v>
      </c>
      <c r="F817" s="33">
        <v>17.248</v>
      </c>
      <c r="G817" s="33">
        <v>2.0</v>
      </c>
      <c r="H817" s="33">
        <v>6.0368</v>
      </c>
    </row>
    <row r="818">
      <c r="A818" s="31" t="s">
        <v>891</v>
      </c>
      <c r="B818" s="32">
        <v>41764.0</v>
      </c>
      <c r="C818" s="31" t="s">
        <v>38</v>
      </c>
      <c r="D818" s="31" t="s">
        <v>113</v>
      </c>
      <c r="E818" s="31" t="s">
        <v>59</v>
      </c>
      <c r="F818" s="33">
        <v>11.88</v>
      </c>
      <c r="G818" s="33">
        <v>2.0</v>
      </c>
      <c r="H818" s="33">
        <v>5.346</v>
      </c>
    </row>
    <row r="819">
      <c r="A819" s="31" t="s">
        <v>892</v>
      </c>
      <c r="B819" s="34">
        <v>41969.0</v>
      </c>
      <c r="C819" s="31" t="s">
        <v>38</v>
      </c>
      <c r="D819" s="31" t="s">
        <v>27</v>
      </c>
      <c r="E819" s="31" t="s">
        <v>28</v>
      </c>
      <c r="F819" s="33">
        <v>4.32</v>
      </c>
      <c r="G819" s="33">
        <v>3.0</v>
      </c>
      <c r="H819" s="33">
        <v>1.512</v>
      </c>
    </row>
    <row r="820">
      <c r="A820" s="31" t="s">
        <v>893</v>
      </c>
      <c r="B820" s="34">
        <v>42004.0</v>
      </c>
      <c r="C820" s="31" t="s">
        <v>47</v>
      </c>
      <c r="D820" s="31" t="s">
        <v>440</v>
      </c>
      <c r="E820" s="31" t="s">
        <v>28</v>
      </c>
      <c r="F820" s="33">
        <v>475.944</v>
      </c>
      <c r="G820" s="33">
        <v>7.0</v>
      </c>
      <c r="H820" s="33">
        <v>59.493</v>
      </c>
    </row>
    <row r="821">
      <c r="A821" s="31" t="s">
        <v>894</v>
      </c>
      <c r="B821" s="32">
        <v>41794.0</v>
      </c>
      <c r="C821" s="31" t="s">
        <v>11</v>
      </c>
      <c r="D821" s="31" t="s">
        <v>79</v>
      </c>
      <c r="E821" s="31" t="s">
        <v>45</v>
      </c>
      <c r="F821" s="33">
        <v>56.96</v>
      </c>
      <c r="G821" s="33">
        <v>2.0</v>
      </c>
      <c r="H821" s="33">
        <v>21.0752</v>
      </c>
    </row>
    <row r="822">
      <c r="A822" s="31" t="s">
        <v>895</v>
      </c>
      <c r="B822" s="32">
        <v>41759.0</v>
      </c>
      <c r="C822" s="31" t="s">
        <v>11</v>
      </c>
      <c r="D822" s="31" t="s">
        <v>401</v>
      </c>
      <c r="E822" s="31" t="s">
        <v>59</v>
      </c>
      <c r="F822" s="33">
        <v>174.95</v>
      </c>
      <c r="G822" s="33">
        <v>5.0</v>
      </c>
      <c r="H822" s="33">
        <v>45.487</v>
      </c>
    </row>
    <row r="823">
      <c r="A823" s="31" t="s">
        <v>896</v>
      </c>
      <c r="B823" s="34">
        <v>41986.0</v>
      </c>
      <c r="C823" s="31" t="s">
        <v>38</v>
      </c>
      <c r="D823" s="31" t="s">
        <v>401</v>
      </c>
      <c r="E823" s="31" t="s">
        <v>59</v>
      </c>
      <c r="F823" s="33">
        <v>12.39</v>
      </c>
      <c r="G823" s="33">
        <v>3.0</v>
      </c>
      <c r="H823" s="33">
        <v>5.8233</v>
      </c>
    </row>
    <row r="824">
      <c r="A824" s="31" t="s">
        <v>897</v>
      </c>
      <c r="B824" s="32">
        <v>41895.0</v>
      </c>
      <c r="C824" s="31" t="s">
        <v>11</v>
      </c>
      <c r="D824" s="31" t="s">
        <v>52</v>
      </c>
      <c r="E824" s="31" t="s">
        <v>28</v>
      </c>
      <c r="F824" s="33">
        <v>5.7</v>
      </c>
      <c r="G824" s="33">
        <v>5.0</v>
      </c>
      <c r="H824" s="33">
        <v>2.679</v>
      </c>
    </row>
    <row r="825">
      <c r="A825" s="31" t="s">
        <v>898</v>
      </c>
      <c r="B825" s="34">
        <v>42000.0</v>
      </c>
      <c r="C825" s="31" t="s">
        <v>11</v>
      </c>
      <c r="D825" s="31" t="s">
        <v>44</v>
      </c>
      <c r="E825" s="31" t="s">
        <v>45</v>
      </c>
      <c r="F825" s="33">
        <v>182.352</v>
      </c>
      <c r="G825" s="33">
        <v>3.0</v>
      </c>
      <c r="H825" s="33">
        <v>-18.2352</v>
      </c>
    </row>
    <row r="826">
      <c r="A826" s="31" t="s">
        <v>899</v>
      </c>
      <c r="B826" s="32">
        <v>41948.0</v>
      </c>
      <c r="C826" s="31" t="s">
        <v>47</v>
      </c>
      <c r="D826" s="31" t="s">
        <v>113</v>
      </c>
      <c r="E826" s="31" t="s">
        <v>59</v>
      </c>
      <c r="F826" s="33">
        <v>47.79</v>
      </c>
      <c r="G826" s="33">
        <v>3.0</v>
      </c>
      <c r="H826" s="33">
        <v>16.2486</v>
      </c>
    </row>
    <row r="827">
      <c r="A827" s="31" t="s">
        <v>900</v>
      </c>
      <c r="B827" s="34">
        <v>41999.0</v>
      </c>
      <c r="C827" s="31" t="s">
        <v>38</v>
      </c>
      <c r="D827" s="31" t="s">
        <v>77</v>
      </c>
      <c r="E827" s="31" t="s">
        <v>45</v>
      </c>
      <c r="F827" s="33">
        <v>8.016</v>
      </c>
      <c r="G827" s="33">
        <v>3.0</v>
      </c>
      <c r="H827" s="33">
        <v>1.1022</v>
      </c>
    </row>
    <row r="828">
      <c r="A828" s="31" t="s">
        <v>901</v>
      </c>
      <c r="B828" s="32">
        <v>41874.0</v>
      </c>
      <c r="C828" s="31" t="s">
        <v>47</v>
      </c>
      <c r="D828" s="31" t="s">
        <v>36</v>
      </c>
      <c r="E828" s="31" t="s">
        <v>31</v>
      </c>
      <c r="F828" s="33">
        <v>19.44</v>
      </c>
      <c r="G828" s="33">
        <v>3.0</v>
      </c>
      <c r="H828" s="33">
        <v>9.5256</v>
      </c>
    </row>
    <row r="829">
      <c r="A829" s="31" t="s">
        <v>902</v>
      </c>
      <c r="B829" s="32">
        <v>41913.0</v>
      </c>
      <c r="C829" s="31" t="s">
        <v>47</v>
      </c>
      <c r="D829" s="31" t="s">
        <v>440</v>
      </c>
      <c r="E829" s="31" t="s">
        <v>28</v>
      </c>
      <c r="F829" s="33">
        <v>4.71</v>
      </c>
      <c r="G829" s="33">
        <v>1.0</v>
      </c>
      <c r="H829" s="33">
        <v>0.0</v>
      </c>
    </row>
    <row r="830">
      <c r="A830" s="31" t="s">
        <v>903</v>
      </c>
      <c r="B830" s="32">
        <v>41890.0</v>
      </c>
      <c r="C830" s="31" t="s">
        <v>47</v>
      </c>
      <c r="D830" s="31" t="s">
        <v>79</v>
      </c>
      <c r="E830" s="31" t="s">
        <v>45</v>
      </c>
      <c r="F830" s="33">
        <v>172.764</v>
      </c>
      <c r="G830" s="33">
        <v>2.0</v>
      </c>
      <c r="H830" s="33">
        <v>13.4372</v>
      </c>
    </row>
    <row r="831">
      <c r="A831" s="31" t="s">
        <v>904</v>
      </c>
      <c r="B831" s="34">
        <v>41959.0</v>
      </c>
      <c r="C831" s="31" t="s">
        <v>38</v>
      </c>
      <c r="D831" s="31" t="s">
        <v>27</v>
      </c>
      <c r="E831" s="31" t="s">
        <v>28</v>
      </c>
      <c r="F831" s="33">
        <v>79.968</v>
      </c>
      <c r="G831" s="33">
        <v>4.0</v>
      </c>
      <c r="H831" s="33">
        <v>-17.9928</v>
      </c>
    </row>
    <row r="832">
      <c r="A832" s="31" t="s">
        <v>905</v>
      </c>
      <c r="B832" s="32">
        <v>41701.0</v>
      </c>
      <c r="C832" s="31" t="s">
        <v>11</v>
      </c>
      <c r="D832" s="31" t="s">
        <v>27</v>
      </c>
      <c r="E832" s="31" t="s">
        <v>28</v>
      </c>
      <c r="F832" s="33">
        <v>626.352</v>
      </c>
      <c r="G832" s="33">
        <v>3.0</v>
      </c>
      <c r="H832" s="33">
        <v>-23.4882</v>
      </c>
    </row>
    <row r="833">
      <c r="A833" s="31" t="s">
        <v>906</v>
      </c>
      <c r="B833" s="32">
        <v>41677.0</v>
      </c>
      <c r="C833" s="31" t="s">
        <v>38</v>
      </c>
      <c r="D833" s="31" t="s">
        <v>79</v>
      </c>
      <c r="E833" s="31" t="s">
        <v>45</v>
      </c>
      <c r="F833" s="33">
        <v>64.96</v>
      </c>
      <c r="G833" s="33">
        <v>4.0</v>
      </c>
      <c r="H833" s="33">
        <v>9.744</v>
      </c>
    </row>
    <row r="834">
      <c r="A834" s="31" t="s">
        <v>907</v>
      </c>
      <c r="B834" s="34">
        <v>41992.0</v>
      </c>
      <c r="C834" s="31" t="s">
        <v>38</v>
      </c>
      <c r="D834" s="31" t="s">
        <v>27</v>
      </c>
      <c r="E834" s="31" t="s">
        <v>28</v>
      </c>
      <c r="F834" s="33">
        <v>14.62</v>
      </c>
      <c r="G834" s="33">
        <v>2.0</v>
      </c>
      <c r="H834" s="33">
        <v>6.8714</v>
      </c>
    </row>
    <row r="835">
      <c r="A835" s="31" t="s">
        <v>908</v>
      </c>
      <c r="B835" s="32">
        <v>41767.0</v>
      </c>
      <c r="C835" s="31" t="s">
        <v>11</v>
      </c>
      <c r="D835" s="31" t="s">
        <v>77</v>
      </c>
      <c r="E835" s="31" t="s">
        <v>45</v>
      </c>
      <c r="F835" s="33">
        <v>1799.97</v>
      </c>
      <c r="G835" s="33">
        <v>5.0</v>
      </c>
      <c r="H835" s="33">
        <v>239.996</v>
      </c>
    </row>
    <row r="836">
      <c r="A836" s="31" t="s">
        <v>909</v>
      </c>
      <c r="B836" s="34">
        <v>42004.0</v>
      </c>
      <c r="C836" s="31" t="s">
        <v>38</v>
      </c>
      <c r="D836" s="31" t="s">
        <v>79</v>
      </c>
      <c r="E836" s="31" t="s">
        <v>45</v>
      </c>
      <c r="F836" s="33">
        <v>34.77</v>
      </c>
      <c r="G836" s="33">
        <v>3.0</v>
      </c>
      <c r="H836" s="33">
        <v>11.4741</v>
      </c>
    </row>
    <row r="837">
      <c r="A837" s="31" t="s">
        <v>910</v>
      </c>
      <c r="B837" s="32">
        <v>41731.0</v>
      </c>
      <c r="C837" s="31" t="s">
        <v>11</v>
      </c>
      <c r="D837" s="31" t="s">
        <v>41</v>
      </c>
      <c r="E837" s="31" t="s">
        <v>31</v>
      </c>
      <c r="F837" s="33">
        <v>26.72</v>
      </c>
      <c r="G837" s="33">
        <v>5.0</v>
      </c>
      <c r="H837" s="33">
        <v>9.352</v>
      </c>
    </row>
    <row r="838">
      <c r="A838" s="31" t="s">
        <v>911</v>
      </c>
      <c r="B838" s="32">
        <v>41918.0</v>
      </c>
      <c r="C838" s="31" t="s">
        <v>38</v>
      </c>
      <c r="D838" s="31" t="s">
        <v>297</v>
      </c>
      <c r="E838" s="31" t="s">
        <v>31</v>
      </c>
      <c r="F838" s="33">
        <v>386.34</v>
      </c>
      <c r="G838" s="33">
        <v>2.0</v>
      </c>
      <c r="H838" s="33">
        <v>54.0876</v>
      </c>
    </row>
    <row r="839">
      <c r="A839" s="31" t="s">
        <v>912</v>
      </c>
      <c r="B839" s="32">
        <v>41735.0</v>
      </c>
      <c r="C839" s="31" t="s">
        <v>38</v>
      </c>
      <c r="D839" s="31" t="s">
        <v>27</v>
      </c>
      <c r="E839" s="31" t="s">
        <v>28</v>
      </c>
      <c r="F839" s="33">
        <v>70.95</v>
      </c>
      <c r="G839" s="33">
        <v>3.0</v>
      </c>
      <c r="H839" s="33">
        <v>18.447</v>
      </c>
    </row>
    <row r="840">
      <c r="A840" s="31" t="s">
        <v>913</v>
      </c>
      <c r="B840" s="34">
        <v>41961.0</v>
      </c>
      <c r="C840" s="31" t="s">
        <v>38</v>
      </c>
      <c r="D840" s="31" t="s">
        <v>67</v>
      </c>
      <c r="E840" s="31" t="s">
        <v>31</v>
      </c>
      <c r="F840" s="33">
        <v>67.15</v>
      </c>
      <c r="G840" s="33">
        <v>5.0</v>
      </c>
      <c r="H840" s="33">
        <v>16.7875</v>
      </c>
    </row>
    <row r="841">
      <c r="A841" s="31" t="s">
        <v>914</v>
      </c>
      <c r="B841" s="32">
        <v>41920.0</v>
      </c>
      <c r="C841" s="31" t="s">
        <v>11</v>
      </c>
      <c r="D841" s="31" t="s">
        <v>79</v>
      </c>
      <c r="E841" s="31" t="s">
        <v>45</v>
      </c>
      <c r="F841" s="33">
        <v>123.92</v>
      </c>
      <c r="G841" s="33">
        <v>4.0</v>
      </c>
      <c r="H841" s="33">
        <v>55.764</v>
      </c>
    </row>
    <row r="842">
      <c r="A842" s="31" t="s">
        <v>915</v>
      </c>
      <c r="B842" s="32">
        <v>41902.0</v>
      </c>
      <c r="C842" s="31" t="s">
        <v>11</v>
      </c>
      <c r="D842" s="31" t="s">
        <v>49</v>
      </c>
      <c r="E842" s="31" t="s">
        <v>31</v>
      </c>
      <c r="F842" s="33">
        <v>493.43</v>
      </c>
      <c r="G842" s="33">
        <v>5.0</v>
      </c>
      <c r="H842" s="33">
        <v>-70.49</v>
      </c>
    </row>
    <row r="843">
      <c r="A843" s="31" t="s">
        <v>916</v>
      </c>
      <c r="B843" s="34">
        <v>41922.0</v>
      </c>
      <c r="C843" s="31" t="s">
        <v>11</v>
      </c>
      <c r="D843" s="31" t="s">
        <v>44</v>
      </c>
      <c r="E843" s="31" t="s">
        <v>45</v>
      </c>
      <c r="F843" s="33">
        <v>101.994</v>
      </c>
      <c r="G843" s="33">
        <v>2.0</v>
      </c>
      <c r="H843" s="33">
        <v>-71.3958</v>
      </c>
    </row>
    <row r="844">
      <c r="A844" s="31" t="s">
        <v>917</v>
      </c>
      <c r="B844" s="32">
        <v>41876.0</v>
      </c>
      <c r="C844" s="31" t="s">
        <v>38</v>
      </c>
      <c r="D844" s="31" t="s">
        <v>44</v>
      </c>
      <c r="E844" s="31" t="s">
        <v>45</v>
      </c>
      <c r="F844" s="33">
        <v>6.528</v>
      </c>
      <c r="G844" s="33">
        <v>4.0</v>
      </c>
      <c r="H844" s="33">
        <v>-4.5696</v>
      </c>
    </row>
    <row r="845">
      <c r="A845" s="31" t="s">
        <v>918</v>
      </c>
      <c r="B845" s="32">
        <v>41847.0</v>
      </c>
      <c r="C845" s="31" t="s">
        <v>38</v>
      </c>
      <c r="D845" s="31" t="s">
        <v>27</v>
      </c>
      <c r="E845" s="31" t="s">
        <v>28</v>
      </c>
      <c r="F845" s="33">
        <v>276.28</v>
      </c>
      <c r="G845" s="33">
        <v>2.0</v>
      </c>
      <c r="H845" s="33">
        <v>0.0</v>
      </c>
    </row>
    <row r="846">
      <c r="A846" s="31" t="s">
        <v>919</v>
      </c>
      <c r="B846" s="32">
        <v>41856.0</v>
      </c>
      <c r="C846" s="31" t="s">
        <v>11</v>
      </c>
      <c r="D846" s="31" t="s">
        <v>41</v>
      </c>
      <c r="E846" s="31" t="s">
        <v>31</v>
      </c>
      <c r="F846" s="33">
        <v>489.23</v>
      </c>
      <c r="G846" s="33">
        <v>2.0</v>
      </c>
      <c r="H846" s="33">
        <v>41.934</v>
      </c>
    </row>
    <row r="847">
      <c r="A847" s="31" t="s">
        <v>920</v>
      </c>
      <c r="B847" s="32">
        <v>41731.0</v>
      </c>
      <c r="C847" s="31" t="s">
        <v>38</v>
      </c>
      <c r="D847" s="31" t="s">
        <v>113</v>
      </c>
      <c r="E847" s="31" t="s">
        <v>59</v>
      </c>
      <c r="F847" s="33">
        <v>177.68</v>
      </c>
      <c r="G847" s="33">
        <v>2.0</v>
      </c>
      <c r="H847" s="33">
        <v>46.1968</v>
      </c>
    </row>
    <row r="848">
      <c r="A848" s="31" t="s">
        <v>921</v>
      </c>
      <c r="B848" s="32">
        <v>41757.0</v>
      </c>
      <c r="C848" s="31" t="s">
        <v>38</v>
      </c>
      <c r="D848" s="31" t="s">
        <v>79</v>
      </c>
      <c r="E848" s="31" t="s">
        <v>45</v>
      </c>
      <c r="F848" s="33">
        <v>159.98</v>
      </c>
      <c r="G848" s="33">
        <v>2.0</v>
      </c>
      <c r="H848" s="33">
        <v>57.5928</v>
      </c>
    </row>
    <row r="849">
      <c r="A849" s="31" t="s">
        <v>922</v>
      </c>
      <c r="B849" s="32">
        <v>41873.0</v>
      </c>
      <c r="C849" s="31" t="s">
        <v>11</v>
      </c>
      <c r="D849" s="31" t="s">
        <v>75</v>
      </c>
      <c r="E849" s="31" t="s">
        <v>59</v>
      </c>
      <c r="F849" s="33">
        <v>7.632</v>
      </c>
      <c r="G849" s="33">
        <v>3.0</v>
      </c>
      <c r="H849" s="33">
        <v>-1.8126</v>
      </c>
    </row>
    <row r="850">
      <c r="A850" s="31" t="s">
        <v>923</v>
      </c>
      <c r="B850" s="32">
        <v>41980.0</v>
      </c>
      <c r="C850" s="31" t="s">
        <v>47</v>
      </c>
      <c r="D850" s="31" t="s">
        <v>27</v>
      </c>
      <c r="E850" s="31" t="s">
        <v>28</v>
      </c>
      <c r="F850" s="33">
        <v>164.88</v>
      </c>
      <c r="G850" s="33">
        <v>3.0</v>
      </c>
      <c r="H850" s="33">
        <v>80.7912</v>
      </c>
    </row>
    <row r="851">
      <c r="A851" s="31" t="s">
        <v>924</v>
      </c>
      <c r="B851" s="34">
        <v>41958.0</v>
      </c>
      <c r="C851" s="31" t="s">
        <v>38</v>
      </c>
      <c r="D851" s="31" t="s">
        <v>27</v>
      </c>
      <c r="E851" s="31" t="s">
        <v>28</v>
      </c>
      <c r="F851" s="33">
        <v>10.95</v>
      </c>
      <c r="G851" s="33">
        <v>3.0</v>
      </c>
      <c r="H851" s="33">
        <v>3.285</v>
      </c>
    </row>
    <row r="852">
      <c r="A852" s="31" t="s">
        <v>925</v>
      </c>
      <c r="B852" s="34">
        <v>41997.0</v>
      </c>
      <c r="C852" s="31" t="s">
        <v>11</v>
      </c>
      <c r="D852" s="31" t="s">
        <v>27</v>
      </c>
      <c r="E852" s="31" t="s">
        <v>28</v>
      </c>
      <c r="F852" s="33">
        <v>13.97</v>
      </c>
      <c r="G852" s="33">
        <v>1.0</v>
      </c>
      <c r="H852" s="33">
        <v>3.6322</v>
      </c>
    </row>
    <row r="853">
      <c r="A853" s="31" t="s">
        <v>926</v>
      </c>
      <c r="B853" s="32">
        <v>41859.0</v>
      </c>
      <c r="C853" s="31" t="s">
        <v>11</v>
      </c>
      <c r="D853" s="31" t="s">
        <v>75</v>
      </c>
      <c r="E853" s="31" t="s">
        <v>59</v>
      </c>
      <c r="F853" s="33">
        <v>155.456</v>
      </c>
      <c r="G853" s="33">
        <v>4.0</v>
      </c>
      <c r="H853" s="33">
        <v>-7.7728</v>
      </c>
    </row>
    <row r="854">
      <c r="A854" s="31" t="s">
        <v>927</v>
      </c>
      <c r="B854" s="32">
        <v>41902.0</v>
      </c>
      <c r="C854" s="31" t="s">
        <v>38</v>
      </c>
      <c r="D854" s="31" t="s">
        <v>27</v>
      </c>
      <c r="E854" s="31" t="s">
        <v>28</v>
      </c>
      <c r="F854" s="33">
        <v>8.56</v>
      </c>
      <c r="G854" s="33">
        <v>2.0</v>
      </c>
      <c r="H854" s="33">
        <v>3.852</v>
      </c>
    </row>
    <row r="855">
      <c r="A855" s="31" t="s">
        <v>928</v>
      </c>
      <c r="B855" s="34">
        <v>42003.0</v>
      </c>
      <c r="C855" s="31" t="s">
        <v>11</v>
      </c>
      <c r="D855" s="31" t="s">
        <v>254</v>
      </c>
      <c r="E855" s="31" t="s">
        <v>59</v>
      </c>
      <c r="F855" s="33">
        <v>39.128</v>
      </c>
      <c r="G855" s="33">
        <v>1.0</v>
      </c>
      <c r="H855" s="33">
        <v>-8.8038</v>
      </c>
    </row>
    <row r="856">
      <c r="A856" s="31" t="s">
        <v>929</v>
      </c>
      <c r="B856" s="34">
        <v>41962.0</v>
      </c>
      <c r="C856" s="31" t="s">
        <v>11</v>
      </c>
      <c r="D856" s="31" t="s">
        <v>77</v>
      </c>
      <c r="E856" s="31" t="s">
        <v>45</v>
      </c>
      <c r="F856" s="33">
        <v>47.496</v>
      </c>
      <c r="G856" s="33">
        <v>1.0</v>
      </c>
      <c r="H856" s="33">
        <v>-1.1874</v>
      </c>
    </row>
    <row r="857">
      <c r="A857" s="31" t="s">
        <v>930</v>
      </c>
      <c r="B857" s="32">
        <v>41946.0</v>
      </c>
      <c r="C857" s="31" t="s">
        <v>38</v>
      </c>
      <c r="D857" s="31" t="s">
        <v>72</v>
      </c>
      <c r="E857" s="31" t="s">
        <v>45</v>
      </c>
      <c r="F857" s="33">
        <v>5.76</v>
      </c>
      <c r="G857" s="33">
        <v>2.0</v>
      </c>
      <c r="H857" s="33">
        <v>2.8224</v>
      </c>
    </row>
    <row r="858">
      <c r="A858" s="31" t="s">
        <v>931</v>
      </c>
      <c r="B858" s="32">
        <v>41676.0</v>
      </c>
      <c r="C858" s="31" t="s">
        <v>11</v>
      </c>
      <c r="D858" s="31" t="s">
        <v>49</v>
      </c>
      <c r="E858" s="31" t="s">
        <v>31</v>
      </c>
      <c r="F858" s="33">
        <v>8.952</v>
      </c>
      <c r="G858" s="33">
        <v>2.0</v>
      </c>
      <c r="H858" s="33">
        <v>-14.7708</v>
      </c>
    </row>
    <row r="859">
      <c r="A859" s="31" t="s">
        <v>932</v>
      </c>
      <c r="B859" s="32">
        <v>41866.0</v>
      </c>
      <c r="C859" s="31" t="s">
        <v>11</v>
      </c>
      <c r="D859" s="31" t="s">
        <v>75</v>
      </c>
      <c r="E859" s="31" t="s">
        <v>59</v>
      </c>
      <c r="F859" s="33">
        <v>91.36</v>
      </c>
      <c r="G859" s="33">
        <v>5.0</v>
      </c>
      <c r="H859" s="33">
        <v>29.692</v>
      </c>
    </row>
    <row r="860">
      <c r="A860" s="31" t="s">
        <v>933</v>
      </c>
      <c r="B860" s="32">
        <v>41812.0</v>
      </c>
      <c r="C860" s="31" t="s">
        <v>11</v>
      </c>
      <c r="D860" s="31" t="s">
        <v>39</v>
      </c>
      <c r="E860" s="31" t="s">
        <v>28</v>
      </c>
      <c r="F860" s="33">
        <v>8.226</v>
      </c>
      <c r="G860" s="33">
        <v>3.0</v>
      </c>
      <c r="H860" s="33">
        <v>-6.0324</v>
      </c>
    </row>
    <row r="861">
      <c r="A861" s="31" t="s">
        <v>934</v>
      </c>
      <c r="B861" s="32">
        <v>41975.0</v>
      </c>
      <c r="C861" s="31" t="s">
        <v>38</v>
      </c>
      <c r="D861" s="31" t="s">
        <v>173</v>
      </c>
      <c r="E861" s="31" t="s">
        <v>59</v>
      </c>
      <c r="F861" s="33">
        <v>5.95</v>
      </c>
      <c r="G861" s="33">
        <v>1.0</v>
      </c>
      <c r="H861" s="33">
        <v>0.833</v>
      </c>
    </row>
    <row r="862">
      <c r="A862" s="31" t="s">
        <v>935</v>
      </c>
      <c r="B862" s="34">
        <v>41989.0</v>
      </c>
      <c r="C862" s="31" t="s">
        <v>11</v>
      </c>
      <c r="D862" s="31" t="s">
        <v>113</v>
      </c>
      <c r="E862" s="31" t="s">
        <v>59</v>
      </c>
      <c r="F862" s="33">
        <v>99.98</v>
      </c>
      <c r="G862" s="33">
        <v>2.0</v>
      </c>
      <c r="H862" s="33">
        <v>7.9984</v>
      </c>
    </row>
    <row r="863">
      <c r="A863" s="31" t="s">
        <v>936</v>
      </c>
      <c r="B863" s="32">
        <v>41838.0</v>
      </c>
      <c r="C863" s="31" t="s">
        <v>11</v>
      </c>
      <c r="D863" s="31" t="s">
        <v>79</v>
      </c>
      <c r="E863" s="31" t="s">
        <v>45</v>
      </c>
      <c r="F863" s="33">
        <v>13.904</v>
      </c>
      <c r="G863" s="33">
        <v>2.0</v>
      </c>
      <c r="H863" s="33">
        <v>4.5188</v>
      </c>
    </row>
    <row r="864">
      <c r="A864" s="31" t="s">
        <v>937</v>
      </c>
      <c r="B864" s="32">
        <v>41884.0</v>
      </c>
      <c r="C864" s="31" t="s">
        <v>11</v>
      </c>
      <c r="D864" s="31" t="s">
        <v>157</v>
      </c>
      <c r="E864" s="31" t="s">
        <v>59</v>
      </c>
      <c r="F864" s="33">
        <v>1793.98</v>
      </c>
      <c r="G864" s="33">
        <v>2.0</v>
      </c>
      <c r="H864" s="33">
        <v>843.1706</v>
      </c>
    </row>
    <row r="865">
      <c r="A865" s="31" t="s">
        <v>938</v>
      </c>
      <c r="B865" s="32">
        <v>41901.0</v>
      </c>
      <c r="C865" s="31" t="s">
        <v>38</v>
      </c>
      <c r="D865" s="31" t="s">
        <v>39</v>
      </c>
      <c r="E865" s="31" t="s">
        <v>28</v>
      </c>
      <c r="F865" s="33">
        <v>73.915</v>
      </c>
      <c r="G865" s="33">
        <v>1.0</v>
      </c>
      <c r="H865" s="33">
        <v>-45.8273</v>
      </c>
    </row>
    <row r="866">
      <c r="A866" s="31" t="s">
        <v>939</v>
      </c>
      <c r="B866" s="32">
        <v>41910.0</v>
      </c>
      <c r="C866" s="31" t="s">
        <v>11</v>
      </c>
      <c r="D866" s="31" t="s">
        <v>75</v>
      </c>
      <c r="E866" s="31" t="s">
        <v>59</v>
      </c>
      <c r="F866" s="33">
        <v>337.088</v>
      </c>
      <c r="G866" s="33">
        <v>4.0</v>
      </c>
      <c r="H866" s="33">
        <v>16.8544</v>
      </c>
    </row>
    <row r="867">
      <c r="A867" s="31" t="s">
        <v>940</v>
      </c>
      <c r="B867" s="32">
        <v>41903.0</v>
      </c>
      <c r="C867" s="31" t="s">
        <v>47</v>
      </c>
      <c r="D867" s="31" t="s">
        <v>79</v>
      </c>
      <c r="E867" s="31" t="s">
        <v>45</v>
      </c>
      <c r="F867" s="33">
        <v>66.03</v>
      </c>
      <c r="G867" s="33">
        <v>3.0</v>
      </c>
      <c r="H867" s="33">
        <v>17.1678</v>
      </c>
    </row>
    <row r="868">
      <c r="A868" s="31" t="s">
        <v>941</v>
      </c>
      <c r="B868" s="32">
        <v>41724.0</v>
      </c>
      <c r="C868" s="31" t="s">
        <v>38</v>
      </c>
      <c r="D868" s="31" t="s">
        <v>27</v>
      </c>
      <c r="E868" s="31" t="s">
        <v>28</v>
      </c>
      <c r="F868" s="33">
        <v>3.36</v>
      </c>
      <c r="G868" s="33">
        <v>2.0</v>
      </c>
      <c r="H868" s="33">
        <v>0.84</v>
      </c>
    </row>
    <row r="869">
      <c r="A869" s="31" t="s">
        <v>942</v>
      </c>
      <c r="B869" s="34">
        <v>41926.0</v>
      </c>
      <c r="C869" s="31" t="s">
        <v>11</v>
      </c>
      <c r="D869" s="31" t="s">
        <v>49</v>
      </c>
      <c r="E869" s="31" t="s">
        <v>31</v>
      </c>
      <c r="F869" s="33">
        <v>322.192</v>
      </c>
      <c r="G869" s="33">
        <v>13.0</v>
      </c>
      <c r="H869" s="33">
        <v>100.685</v>
      </c>
    </row>
    <row r="870">
      <c r="A870" s="31" t="s">
        <v>943</v>
      </c>
      <c r="B870" s="32">
        <v>41750.0</v>
      </c>
      <c r="C870" s="31" t="s">
        <v>38</v>
      </c>
      <c r="D870" s="31" t="s">
        <v>401</v>
      </c>
      <c r="E870" s="31" t="s">
        <v>59</v>
      </c>
      <c r="F870" s="33">
        <v>828.84</v>
      </c>
      <c r="G870" s="33">
        <v>6.0</v>
      </c>
      <c r="H870" s="33">
        <v>0.0</v>
      </c>
    </row>
    <row r="871">
      <c r="A871" s="31" t="s">
        <v>944</v>
      </c>
      <c r="B871" s="32">
        <v>41946.0</v>
      </c>
      <c r="C871" s="31" t="s">
        <v>38</v>
      </c>
      <c r="D871" s="31" t="s">
        <v>332</v>
      </c>
      <c r="E871" s="31" t="s">
        <v>31</v>
      </c>
      <c r="F871" s="33">
        <v>89.97</v>
      </c>
      <c r="G871" s="33">
        <v>3.0</v>
      </c>
      <c r="H871" s="33">
        <v>18.8937</v>
      </c>
    </row>
    <row r="872">
      <c r="A872" s="31" t="s">
        <v>945</v>
      </c>
      <c r="B872" s="32">
        <v>41741.0</v>
      </c>
      <c r="C872" s="31" t="s">
        <v>11</v>
      </c>
      <c r="D872" s="31" t="s">
        <v>297</v>
      </c>
      <c r="E872" s="31" t="s">
        <v>31</v>
      </c>
      <c r="F872" s="33">
        <v>32.4</v>
      </c>
      <c r="G872" s="33">
        <v>5.0</v>
      </c>
      <c r="H872" s="33">
        <v>15.552</v>
      </c>
    </row>
    <row r="873">
      <c r="A873" s="31" t="s">
        <v>946</v>
      </c>
      <c r="B873" s="34">
        <v>41925.0</v>
      </c>
      <c r="C873" s="31" t="s">
        <v>47</v>
      </c>
      <c r="D873" s="31" t="s">
        <v>113</v>
      </c>
      <c r="E873" s="31" t="s">
        <v>59</v>
      </c>
      <c r="F873" s="33">
        <v>36.4</v>
      </c>
      <c r="G873" s="33">
        <v>5.0</v>
      </c>
      <c r="H873" s="33">
        <v>17.472</v>
      </c>
    </row>
    <row r="874">
      <c r="A874" s="31" t="s">
        <v>947</v>
      </c>
      <c r="B874" s="32">
        <v>41672.0</v>
      </c>
      <c r="C874" s="31" t="s">
        <v>11</v>
      </c>
      <c r="D874" s="31" t="s">
        <v>75</v>
      </c>
      <c r="E874" s="31" t="s">
        <v>59</v>
      </c>
      <c r="F874" s="33">
        <v>18.336</v>
      </c>
      <c r="G874" s="33">
        <v>2.0</v>
      </c>
      <c r="H874" s="33">
        <v>-12.224</v>
      </c>
    </row>
    <row r="875">
      <c r="A875" s="31" t="s">
        <v>948</v>
      </c>
      <c r="B875" s="32">
        <v>41884.0</v>
      </c>
      <c r="C875" s="31" t="s">
        <v>11</v>
      </c>
      <c r="D875" s="31" t="s">
        <v>49</v>
      </c>
      <c r="E875" s="31" t="s">
        <v>31</v>
      </c>
      <c r="F875" s="33">
        <v>475.944</v>
      </c>
      <c r="G875" s="33">
        <v>7.0</v>
      </c>
      <c r="H875" s="33">
        <v>95.1888</v>
      </c>
    </row>
    <row r="876">
      <c r="A876" s="31" t="s">
        <v>949</v>
      </c>
      <c r="B876" s="32">
        <v>41791.0</v>
      </c>
      <c r="C876" s="31" t="s">
        <v>38</v>
      </c>
      <c r="D876" s="31" t="s">
        <v>36</v>
      </c>
      <c r="E876" s="31" t="s">
        <v>31</v>
      </c>
      <c r="F876" s="33">
        <v>138.56</v>
      </c>
      <c r="G876" s="33">
        <v>4.0</v>
      </c>
      <c r="H876" s="33">
        <v>66.5088</v>
      </c>
    </row>
    <row r="877">
      <c r="A877" s="31" t="s">
        <v>950</v>
      </c>
      <c r="B877" s="32">
        <v>41662.0</v>
      </c>
      <c r="C877" s="31" t="s">
        <v>11</v>
      </c>
      <c r="D877" s="31" t="s">
        <v>440</v>
      </c>
      <c r="E877" s="31" t="s">
        <v>28</v>
      </c>
      <c r="F877" s="33">
        <v>40.08</v>
      </c>
      <c r="G877" s="33">
        <v>6.0</v>
      </c>
      <c r="H877" s="33">
        <v>19.2384</v>
      </c>
    </row>
    <row r="878">
      <c r="A878" s="31" t="s">
        <v>951</v>
      </c>
      <c r="B878" s="32">
        <v>41855.0</v>
      </c>
      <c r="C878" s="31" t="s">
        <v>38</v>
      </c>
      <c r="D878" s="31" t="s">
        <v>952</v>
      </c>
      <c r="E878" s="31" t="s">
        <v>45</v>
      </c>
      <c r="F878" s="33">
        <v>101.96</v>
      </c>
      <c r="G878" s="33">
        <v>2.0</v>
      </c>
      <c r="H878" s="33">
        <v>27.5292</v>
      </c>
    </row>
    <row r="879">
      <c r="A879" s="31" t="s">
        <v>953</v>
      </c>
      <c r="B879" s="34">
        <v>41973.0</v>
      </c>
      <c r="C879" s="31" t="s">
        <v>11</v>
      </c>
      <c r="D879" s="31" t="s">
        <v>39</v>
      </c>
      <c r="E879" s="31" t="s">
        <v>28</v>
      </c>
      <c r="F879" s="33">
        <v>47.992</v>
      </c>
      <c r="G879" s="33">
        <v>7.0</v>
      </c>
      <c r="H879" s="33">
        <v>3.5994</v>
      </c>
    </row>
    <row r="880">
      <c r="A880" s="31" t="s">
        <v>954</v>
      </c>
      <c r="B880" s="32">
        <v>41769.0</v>
      </c>
      <c r="C880" s="31" t="s">
        <v>11</v>
      </c>
      <c r="D880" s="31" t="s">
        <v>27</v>
      </c>
      <c r="E880" s="31" t="s">
        <v>28</v>
      </c>
      <c r="F880" s="33">
        <v>39.96</v>
      </c>
      <c r="G880" s="33">
        <v>2.0</v>
      </c>
      <c r="H880" s="33">
        <v>19.1808</v>
      </c>
    </row>
    <row r="881">
      <c r="A881" s="31" t="s">
        <v>955</v>
      </c>
      <c r="B881" s="32">
        <v>41981.0</v>
      </c>
      <c r="C881" s="31" t="s">
        <v>38</v>
      </c>
      <c r="D881" s="31" t="s">
        <v>27</v>
      </c>
      <c r="E881" s="31" t="s">
        <v>28</v>
      </c>
      <c r="F881" s="33">
        <v>39.88</v>
      </c>
      <c r="G881" s="33">
        <v>2.0</v>
      </c>
      <c r="H881" s="33">
        <v>11.1664</v>
      </c>
    </row>
    <row r="882">
      <c r="A882" s="31" t="s">
        <v>956</v>
      </c>
      <c r="B882" s="32">
        <v>41946.0</v>
      </c>
      <c r="C882" s="31" t="s">
        <v>47</v>
      </c>
      <c r="D882" s="31" t="s">
        <v>27</v>
      </c>
      <c r="E882" s="31" t="s">
        <v>28</v>
      </c>
      <c r="F882" s="33">
        <v>6.72</v>
      </c>
      <c r="G882" s="33">
        <v>4.0</v>
      </c>
      <c r="H882" s="33">
        <v>3.36</v>
      </c>
    </row>
    <row r="883">
      <c r="A883" s="31" t="s">
        <v>957</v>
      </c>
      <c r="B883" s="34">
        <v>42000.0</v>
      </c>
      <c r="C883" s="31" t="s">
        <v>11</v>
      </c>
      <c r="D883" s="31" t="s">
        <v>39</v>
      </c>
      <c r="E883" s="31" t="s">
        <v>28</v>
      </c>
      <c r="F883" s="33">
        <v>946.764</v>
      </c>
      <c r="G883" s="33">
        <v>6.0</v>
      </c>
      <c r="H883" s="33">
        <v>-694.2936</v>
      </c>
    </row>
    <row r="884">
      <c r="A884" s="31" t="s">
        <v>958</v>
      </c>
      <c r="B884" s="32">
        <v>41829.0</v>
      </c>
      <c r="C884" s="31" t="s">
        <v>47</v>
      </c>
      <c r="D884" s="31" t="s">
        <v>27</v>
      </c>
      <c r="E884" s="31" t="s">
        <v>28</v>
      </c>
      <c r="F884" s="33">
        <v>14.304</v>
      </c>
      <c r="G884" s="33">
        <v>6.0</v>
      </c>
      <c r="H884" s="33">
        <v>4.6488</v>
      </c>
    </row>
    <row r="885">
      <c r="A885" s="31" t="s">
        <v>959</v>
      </c>
      <c r="B885" s="32">
        <v>41681.0</v>
      </c>
      <c r="C885" s="31" t="s">
        <v>11</v>
      </c>
      <c r="D885" s="31" t="s">
        <v>252</v>
      </c>
      <c r="E885" s="31" t="s">
        <v>31</v>
      </c>
      <c r="F885" s="33">
        <v>60.89</v>
      </c>
      <c r="G885" s="33">
        <v>1.0</v>
      </c>
      <c r="H885" s="33">
        <v>15.2225</v>
      </c>
    </row>
    <row r="886">
      <c r="A886" s="31" t="s">
        <v>960</v>
      </c>
      <c r="B886" s="32">
        <v>41678.0</v>
      </c>
      <c r="C886" s="31" t="s">
        <v>47</v>
      </c>
      <c r="D886" s="31" t="s">
        <v>440</v>
      </c>
      <c r="E886" s="31" t="s">
        <v>28</v>
      </c>
      <c r="F886" s="33">
        <v>14.56</v>
      </c>
      <c r="G886" s="33">
        <v>2.0</v>
      </c>
      <c r="H886" s="33">
        <v>5.5328</v>
      </c>
    </row>
    <row r="887">
      <c r="A887" s="31" t="s">
        <v>961</v>
      </c>
      <c r="B887" s="34">
        <v>41922.0</v>
      </c>
      <c r="C887" s="31" t="s">
        <v>38</v>
      </c>
      <c r="D887" s="31" t="s">
        <v>407</v>
      </c>
      <c r="E887" s="31" t="s">
        <v>28</v>
      </c>
      <c r="F887" s="33">
        <v>255.85</v>
      </c>
      <c r="G887" s="33">
        <v>7.0</v>
      </c>
      <c r="H887" s="33">
        <v>112.574</v>
      </c>
    </row>
    <row r="888">
      <c r="A888" s="31" t="s">
        <v>962</v>
      </c>
      <c r="B888" s="34">
        <v>41961.0</v>
      </c>
      <c r="C888" s="31" t="s">
        <v>38</v>
      </c>
      <c r="D888" s="31" t="s">
        <v>30</v>
      </c>
      <c r="E888" s="31" t="s">
        <v>31</v>
      </c>
      <c r="F888" s="33">
        <v>392.94</v>
      </c>
      <c r="G888" s="33">
        <v>3.0</v>
      </c>
      <c r="H888" s="33">
        <v>43.2234</v>
      </c>
    </row>
    <row r="889">
      <c r="A889" s="31" t="s">
        <v>963</v>
      </c>
      <c r="B889" s="32">
        <v>41752.0</v>
      </c>
      <c r="C889" s="31" t="s">
        <v>47</v>
      </c>
      <c r="D889" s="31" t="s">
        <v>27</v>
      </c>
      <c r="E889" s="31" t="s">
        <v>28</v>
      </c>
      <c r="F889" s="33">
        <v>48.91</v>
      </c>
      <c r="G889" s="33">
        <v>1.0</v>
      </c>
      <c r="H889" s="33">
        <v>22.9877</v>
      </c>
    </row>
    <row r="890">
      <c r="A890" s="31" t="s">
        <v>964</v>
      </c>
      <c r="B890" s="32">
        <v>41905.0</v>
      </c>
      <c r="C890" s="31" t="s">
        <v>11</v>
      </c>
      <c r="D890" s="31" t="s">
        <v>119</v>
      </c>
      <c r="E890" s="31" t="s">
        <v>45</v>
      </c>
      <c r="F890" s="33">
        <v>9.84</v>
      </c>
      <c r="G890" s="33">
        <v>3.0</v>
      </c>
      <c r="H890" s="33">
        <v>2.8536</v>
      </c>
    </row>
    <row r="891">
      <c r="A891" s="31" t="s">
        <v>965</v>
      </c>
      <c r="B891" s="32">
        <v>41723.0</v>
      </c>
      <c r="C891" s="31" t="s">
        <v>11</v>
      </c>
      <c r="D891" s="31" t="s">
        <v>27</v>
      </c>
      <c r="E891" s="31" t="s">
        <v>28</v>
      </c>
      <c r="F891" s="33">
        <v>6.56</v>
      </c>
      <c r="G891" s="33">
        <v>2.0</v>
      </c>
      <c r="H891" s="33">
        <v>1.9024</v>
      </c>
    </row>
    <row r="892">
      <c r="A892" s="31" t="s">
        <v>966</v>
      </c>
      <c r="B892" s="34">
        <v>41931.0</v>
      </c>
      <c r="C892" s="31" t="s">
        <v>38</v>
      </c>
      <c r="D892" s="31" t="s">
        <v>27</v>
      </c>
      <c r="E892" s="31" t="s">
        <v>28</v>
      </c>
      <c r="F892" s="33">
        <v>2.992</v>
      </c>
      <c r="G892" s="33">
        <v>1.0</v>
      </c>
      <c r="H892" s="33">
        <v>1.122</v>
      </c>
    </row>
    <row r="893">
      <c r="A893" s="31" t="s">
        <v>967</v>
      </c>
      <c r="B893" s="32">
        <v>41873.0</v>
      </c>
      <c r="C893" s="31" t="s">
        <v>11</v>
      </c>
      <c r="D893" s="31" t="s">
        <v>252</v>
      </c>
      <c r="E893" s="31" t="s">
        <v>31</v>
      </c>
      <c r="F893" s="33">
        <v>11.56</v>
      </c>
      <c r="G893" s="33">
        <v>2.0</v>
      </c>
      <c r="H893" s="33">
        <v>5.6644</v>
      </c>
    </row>
    <row r="894">
      <c r="A894" s="31" t="s">
        <v>968</v>
      </c>
      <c r="B894" s="32">
        <v>41798.0</v>
      </c>
      <c r="C894" s="31" t="s">
        <v>11</v>
      </c>
      <c r="D894" s="31" t="s">
        <v>79</v>
      </c>
      <c r="E894" s="31" t="s">
        <v>45</v>
      </c>
      <c r="F894" s="33">
        <v>68.48</v>
      </c>
      <c r="G894" s="33">
        <v>2.0</v>
      </c>
      <c r="H894" s="33">
        <v>25.68</v>
      </c>
    </row>
    <row r="895">
      <c r="A895" s="31" t="s">
        <v>969</v>
      </c>
      <c r="B895" s="34">
        <v>41996.0</v>
      </c>
      <c r="C895" s="31" t="s">
        <v>11</v>
      </c>
      <c r="D895" s="31" t="s">
        <v>75</v>
      </c>
      <c r="E895" s="31" t="s">
        <v>59</v>
      </c>
      <c r="F895" s="33">
        <v>45.528</v>
      </c>
      <c r="G895" s="33">
        <v>3.0</v>
      </c>
      <c r="H895" s="33">
        <v>15.9348</v>
      </c>
    </row>
    <row r="896">
      <c r="A896" s="31" t="s">
        <v>970</v>
      </c>
      <c r="B896" s="32">
        <v>41902.0</v>
      </c>
      <c r="C896" s="31" t="s">
        <v>11</v>
      </c>
      <c r="D896" s="31" t="s">
        <v>79</v>
      </c>
      <c r="E896" s="31" t="s">
        <v>45</v>
      </c>
      <c r="F896" s="33">
        <v>629.95</v>
      </c>
      <c r="G896" s="33">
        <v>5.0</v>
      </c>
      <c r="H896" s="33">
        <v>157.4875</v>
      </c>
    </row>
    <row r="897">
      <c r="A897" s="31" t="s">
        <v>971</v>
      </c>
      <c r="B897" s="32">
        <v>41814.0</v>
      </c>
      <c r="C897" s="31" t="s">
        <v>11</v>
      </c>
      <c r="D897" s="31" t="s">
        <v>39</v>
      </c>
      <c r="E897" s="31" t="s">
        <v>28</v>
      </c>
      <c r="F897" s="33">
        <v>4.272</v>
      </c>
      <c r="G897" s="33">
        <v>2.0</v>
      </c>
      <c r="H897" s="33">
        <v>0.9612</v>
      </c>
    </row>
    <row r="898">
      <c r="A898" s="31" t="s">
        <v>972</v>
      </c>
      <c r="B898" s="32">
        <v>41712.0</v>
      </c>
      <c r="C898" s="31" t="s">
        <v>47</v>
      </c>
      <c r="D898" s="31" t="s">
        <v>49</v>
      </c>
      <c r="E898" s="31" t="s">
        <v>31</v>
      </c>
      <c r="F898" s="33">
        <v>574.91</v>
      </c>
      <c r="G898" s="33">
        <v>2.0</v>
      </c>
      <c r="H898" s="33">
        <v>156.047</v>
      </c>
    </row>
    <row r="899">
      <c r="A899" s="31" t="s">
        <v>973</v>
      </c>
      <c r="B899" s="34">
        <v>41939.0</v>
      </c>
      <c r="C899" s="31" t="s">
        <v>47</v>
      </c>
      <c r="D899" s="31" t="s">
        <v>65</v>
      </c>
      <c r="E899" s="31" t="s">
        <v>59</v>
      </c>
      <c r="F899" s="33">
        <v>10.368</v>
      </c>
      <c r="G899" s="33">
        <v>2.0</v>
      </c>
      <c r="H899" s="33">
        <v>3.6288</v>
      </c>
    </row>
    <row r="900">
      <c r="A900" s="31" t="s">
        <v>974</v>
      </c>
      <c r="B900" s="32">
        <v>41843.0</v>
      </c>
      <c r="C900" s="31" t="s">
        <v>38</v>
      </c>
      <c r="D900" s="31" t="s">
        <v>27</v>
      </c>
      <c r="E900" s="31" t="s">
        <v>28</v>
      </c>
      <c r="F900" s="33">
        <v>604.752</v>
      </c>
      <c r="G900" s="33">
        <v>6.0</v>
      </c>
      <c r="H900" s="33">
        <v>60.4752</v>
      </c>
    </row>
    <row r="901">
      <c r="A901" s="31" t="s">
        <v>975</v>
      </c>
      <c r="B901" s="32">
        <v>41894.0</v>
      </c>
      <c r="C901" s="31" t="s">
        <v>11</v>
      </c>
      <c r="D901" s="31" t="s">
        <v>79</v>
      </c>
      <c r="E901" s="31" t="s">
        <v>45</v>
      </c>
      <c r="F901" s="33">
        <v>3785.292</v>
      </c>
      <c r="G901" s="33">
        <v>6.0</v>
      </c>
      <c r="H901" s="33">
        <v>420.588</v>
      </c>
    </row>
    <row r="902">
      <c r="A902" s="31" t="s">
        <v>976</v>
      </c>
      <c r="B902" s="34">
        <v>41970.0</v>
      </c>
      <c r="C902" s="31" t="s">
        <v>38</v>
      </c>
      <c r="D902" s="31" t="s">
        <v>79</v>
      </c>
      <c r="E902" s="31" t="s">
        <v>45</v>
      </c>
      <c r="F902" s="33">
        <v>199.9</v>
      </c>
      <c r="G902" s="33">
        <v>5.0</v>
      </c>
      <c r="H902" s="33">
        <v>39.98</v>
      </c>
    </row>
    <row r="903">
      <c r="A903" s="31" t="s">
        <v>977</v>
      </c>
      <c r="B903" s="32">
        <v>41770.0</v>
      </c>
      <c r="C903" s="31" t="s">
        <v>38</v>
      </c>
      <c r="D903" s="31" t="s">
        <v>41</v>
      </c>
      <c r="E903" s="31" t="s">
        <v>31</v>
      </c>
      <c r="F903" s="33">
        <v>1212.96</v>
      </c>
      <c r="G903" s="33">
        <v>8.0</v>
      </c>
      <c r="H903" s="33">
        <v>-69.312</v>
      </c>
    </row>
    <row r="904">
      <c r="A904" s="31" t="s">
        <v>978</v>
      </c>
      <c r="B904" s="34">
        <v>41924.0</v>
      </c>
      <c r="C904" s="31" t="s">
        <v>38</v>
      </c>
      <c r="D904" s="31" t="s">
        <v>49</v>
      </c>
      <c r="E904" s="31" t="s">
        <v>31</v>
      </c>
      <c r="F904" s="33">
        <v>22.24</v>
      </c>
      <c r="G904" s="33">
        <v>2.0</v>
      </c>
      <c r="H904" s="33">
        <v>2.502</v>
      </c>
    </row>
    <row r="905">
      <c r="A905" s="31" t="s">
        <v>979</v>
      </c>
      <c r="B905" s="32">
        <v>41784.0</v>
      </c>
      <c r="C905" s="31" t="s">
        <v>11</v>
      </c>
      <c r="D905" s="31" t="s">
        <v>79</v>
      </c>
      <c r="E905" s="31" t="s">
        <v>45</v>
      </c>
      <c r="F905" s="33">
        <v>14.62</v>
      </c>
      <c r="G905" s="33">
        <v>2.0</v>
      </c>
      <c r="H905" s="33">
        <v>6.7252</v>
      </c>
    </row>
    <row r="906">
      <c r="A906" s="31" t="s">
        <v>980</v>
      </c>
      <c r="B906" s="34">
        <v>42002.0</v>
      </c>
      <c r="C906" s="31" t="s">
        <v>11</v>
      </c>
      <c r="D906" s="31" t="s">
        <v>44</v>
      </c>
      <c r="E906" s="31" t="s">
        <v>45</v>
      </c>
      <c r="F906" s="33">
        <v>48.36</v>
      </c>
      <c r="G906" s="33">
        <v>5.0</v>
      </c>
      <c r="H906" s="33">
        <v>6.045</v>
      </c>
    </row>
    <row r="907">
      <c r="A907" s="31" t="s">
        <v>981</v>
      </c>
      <c r="B907" s="32">
        <v>41890.0</v>
      </c>
      <c r="C907" s="31" t="s">
        <v>11</v>
      </c>
      <c r="D907" s="31" t="s">
        <v>27</v>
      </c>
      <c r="E907" s="31" t="s">
        <v>28</v>
      </c>
      <c r="F907" s="33">
        <v>8.608</v>
      </c>
      <c r="G907" s="33">
        <v>2.0</v>
      </c>
      <c r="H907" s="33">
        <v>3.0128</v>
      </c>
    </row>
    <row r="908">
      <c r="A908" s="31" t="s">
        <v>982</v>
      </c>
      <c r="B908" s="32">
        <v>41921.0</v>
      </c>
      <c r="C908" s="31" t="s">
        <v>11</v>
      </c>
      <c r="D908" s="31" t="s">
        <v>27</v>
      </c>
      <c r="E908" s="31" t="s">
        <v>28</v>
      </c>
      <c r="F908" s="33">
        <v>144.6</v>
      </c>
      <c r="G908" s="33">
        <v>3.0</v>
      </c>
      <c r="H908" s="33">
        <v>41.934</v>
      </c>
    </row>
    <row r="909">
      <c r="A909" s="31" t="s">
        <v>983</v>
      </c>
      <c r="B909" s="34">
        <v>41960.0</v>
      </c>
      <c r="C909" s="31" t="s">
        <v>47</v>
      </c>
      <c r="D909" s="31" t="s">
        <v>79</v>
      </c>
      <c r="E909" s="31" t="s">
        <v>45</v>
      </c>
      <c r="F909" s="33">
        <v>34.44</v>
      </c>
      <c r="G909" s="33">
        <v>3.0</v>
      </c>
      <c r="H909" s="33">
        <v>17.22</v>
      </c>
    </row>
    <row r="910">
      <c r="A910" s="31" t="s">
        <v>984</v>
      </c>
      <c r="B910" s="34">
        <v>41931.0</v>
      </c>
      <c r="C910" s="31" t="s">
        <v>47</v>
      </c>
      <c r="D910" s="31" t="s">
        <v>27</v>
      </c>
      <c r="E910" s="31" t="s">
        <v>28</v>
      </c>
      <c r="F910" s="33">
        <v>321.552</v>
      </c>
      <c r="G910" s="33">
        <v>6.0</v>
      </c>
      <c r="H910" s="33">
        <v>20.097</v>
      </c>
    </row>
    <row r="911">
      <c r="A911" s="31" t="s">
        <v>985</v>
      </c>
      <c r="B911" s="32">
        <v>41697.0</v>
      </c>
      <c r="C911" s="31" t="s">
        <v>11</v>
      </c>
      <c r="D911" s="31" t="s">
        <v>44</v>
      </c>
      <c r="E911" s="31" t="s">
        <v>45</v>
      </c>
      <c r="F911" s="33">
        <v>19.456</v>
      </c>
      <c r="G911" s="33">
        <v>4.0</v>
      </c>
      <c r="H911" s="33">
        <v>3.4048</v>
      </c>
    </row>
    <row r="912">
      <c r="A912" s="31" t="s">
        <v>986</v>
      </c>
      <c r="B912" s="34">
        <v>41994.0</v>
      </c>
      <c r="C912" s="31" t="s">
        <v>11</v>
      </c>
      <c r="D912" s="31" t="s">
        <v>119</v>
      </c>
      <c r="E912" s="31" t="s">
        <v>45</v>
      </c>
      <c r="F912" s="33">
        <v>17.28</v>
      </c>
      <c r="G912" s="33">
        <v>6.0</v>
      </c>
      <c r="H912" s="33">
        <v>7.9488</v>
      </c>
    </row>
    <row r="913">
      <c r="A913" s="31" t="s">
        <v>987</v>
      </c>
      <c r="B913" s="32">
        <v>41889.0</v>
      </c>
      <c r="C913" s="31" t="s">
        <v>11</v>
      </c>
      <c r="D913" s="31" t="s">
        <v>49</v>
      </c>
      <c r="E913" s="31" t="s">
        <v>31</v>
      </c>
      <c r="F913" s="33">
        <v>13.16</v>
      </c>
      <c r="G913" s="33">
        <v>5.0</v>
      </c>
      <c r="H913" s="33">
        <v>4.1125</v>
      </c>
    </row>
    <row r="914">
      <c r="A914" s="31" t="s">
        <v>988</v>
      </c>
      <c r="B914" s="32">
        <v>41842.0</v>
      </c>
      <c r="C914" s="31" t="s">
        <v>47</v>
      </c>
      <c r="D914" s="31" t="s">
        <v>27</v>
      </c>
      <c r="E914" s="31" t="s">
        <v>28</v>
      </c>
      <c r="F914" s="33">
        <v>19.68</v>
      </c>
      <c r="G914" s="33">
        <v>6.0</v>
      </c>
      <c r="H914" s="33">
        <v>6.4944</v>
      </c>
    </row>
    <row r="915">
      <c r="A915" s="31" t="s">
        <v>989</v>
      </c>
      <c r="B915" s="32">
        <v>41734.0</v>
      </c>
      <c r="C915" s="31" t="s">
        <v>11</v>
      </c>
      <c r="D915" s="31" t="s">
        <v>36</v>
      </c>
      <c r="E915" s="31" t="s">
        <v>31</v>
      </c>
      <c r="F915" s="33">
        <v>26.7</v>
      </c>
      <c r="G915" s="33">
        <v>2.0</v>
      </c>
      <c r="H915" s="33">
        <v>7.476</v>
      </c>
    </row>
    <row r="916">
      <c r="A916" s="31" t="s">
        <v>990</v>
      </c>
      <c r="B916" s="34">
        <v>41987.0</v>
      </c>
      <c r="C916" s="31" t="s">
        <v>38</v>
      </c>
      <c r="D916" s="31" t="s">
        <v>49</v>
      </c>
      <c r="E916" s="31" t="s">
        <v>31</v>
      </c>
      <c r="F916" s="33">
        <v>9.264</v>
      </c>
      <c r="G916" s="33">
        <v>3.0</v>
      </c>
      <c r="H916" s="33">
        <v>-13.896</v>
      </c>
    </row>
    <row r="917">
      <c r="A917" s="31" t="s">
        <v>991</v>
      </c>
      <c r="B917" s="32">
        <v>41712.0</v>
      </c>
      <c r="C917" s="31" t="s">
        <v>47</v>
      </c>
      <c r="D917" s="31" t="s">
        <v>75</v>
      </c>
      <c r="E917" s="31" t="s">
        <v>59</v>
      </c>
      <c r="F917" s="33">
        <v>91.056</v>
      </c>
      <c r="G917" s="33">
        <v>6.0</v>
      </c>
      <c r="H917" s="33">
        <v>31.8696</v>
      </c>
    </row>
    <row r="918">
      <c r="A918" s="31" t="s">
        <v>992</v>
      </c>
      <c r="B918" s="32">
        <v>41687.0</v>
      </c>
      <c r="C918" s="31" t="s">
        <v>11</v>
      </c>
      <c r="D918" s="31" t="s">
        <v>49</v>
      </c>
      <c r="E918" s="31" t="s">
        <v>31</v>
      </c>
      <c r="F918" s="33">
        <v>54.208</v>
      </c>
      <c r="G918" s="33">
        <v>14.0</v>
      </c>
      <c r="H918" s="33">
        <v>8.8088</v>
      </c>
    </row>
    <row r="919">
      <c r="A919" s="31" t="s">
        <v>993</v>
      </c>
      <c r="B919" s="34">
        <v>41992.0</v>
      </c>
      <c r="C919" s="31" t="s">
        <v>11</v>
      </c>
      <c r="D919" s="31" t="s">
        <v>49</v>
      </c>
      <c r="E919" s="31" t="s">
        <v>31</v>
      </c>
      <c r="F919" s="33">
        <v>323.976</v>
      </c>
      <c r="G919" s="33">
        <v>3.0</v>
      </c>
      <c r="H919" s="33">
        <v>36.4473</v>
      </c>
    </row>
    <row r="920">
      <c r="A920" s="31" t="s">
        <v>994</v>
      </c>
      <c r="B920" s="34">
        <v>41941.0</v>
      </c>
      <c r="C920" s="31" t="s">
        <v>38</v>
      </c>
      <c r="D920" s="31" t="s">
        <v>297</v>
      </c>
      <c r="E920" s="31" t="s">
        <v>31</v>
      </c>
      <c r="F920" s="33">
        <v>1.98</v>
      </c>
      <c r="G920" s="33">
        <v>2.0</v>
      </c>
      <c r="H920" s="33">
        <v>0.891</v>
      </c>
    </row>
    <row r="921">
      <c r="A921" s="31" t="s">
        <v>995</v>
      </c>
      <c r="B921" s="34">
        <v>41929.0</v>
      </c>
      <c r="C921" s="31" t="s">
        <v>11</v>
      </c>
      <c r="D921" s="31" t="s">
        <v>41</v>
      </c>
      <c r="E921" s="31" t="s">
        <v>31</v>
      </c>
      <c r="F921" s="33">
        <v>5.312</v>
      </c>
      <c r="G921" s="33">
        <v>2.0</v>
      </c>
      <c r="H921" s="33">
        <v>-1.5936</v>
      </c>
    </row>
    <row r="922">
      <c r="A922" s="31" t="s">
        <v>996</v>
      </c>
      <c r="B922" s="32">
        <v>41729.0</v>
      </c>
      <c r="C922" s="31" t="s">
        <v>11</v>
      </c>
      <c r="D922" s="31" t="s">
        <v>75</v>
      </c>
      <c r="E922" s="31" t="s">
        <v>59</v>
      </c>
      <c r="F922" s="33">
        <v>1125.488</v>
      </c>
      <c r="G922" s="33">
        <v>7.0</v>
      </c>
      <c r="H922" s="33">
        <v>98.4802</v>
      </c>
    </row>
    <row r="923">
      <c r="A923" s="31" t="s">
        <v>997</v>
      </c>
      <c r="B923" s="32">
        <v>41770.0</v>
      </c>
      <c r="C923" s="31" t="s">
        <v>47</v>
      </c>
      <c r="D923" s="31" t="s">
        <v>49</v>
      </c>
      <c r="E923" s="31" t="s">
        <v>31</v>
      </c>
      <c r="F923" s="33">
        <v>17.472</v>
      </c>
      <c r="G923" s="33">
        <v>3.0</v>
      </c>
      <c r="H923" s="33">
        <v>5.6784</v>
      </c>
    </row>
    <row r="924">
      <c r="A924" s="31" t="s">
        <v>998</v>
      </c>
      <c r="B924" s="32">
        <v>41778.0</v>
      </c>
      <c r="C924" s="31" t="s">
        <v>11</v>
      </c>
      <c r="D924" s="31" t="s">
        <v>113</v>
      </c>
      <c r="E924" s="31" t="s">
        <v>59</v>
      </c>
      <c r="F924" s="33">
        <v>34.2</v>
      </c>
      <c r="G924" s="33">
        <v>5.0</v>
      </c>
      <c r="H924" s="33">
        <v>9.234</v>
      </c>
    </row>
    <row r="925">
      <c r="A925" s="31" t="s">
        <v>999</v>
      </c>
      <c r="B925" s="34">
        <v>41954.0</v>
      </c>
      <c r="C925" s="31" t="s">
        <v>38</v>
      </c>
      <c r="D925" s="31" t="s">
        <v>52</v>
      </c>
      <c r="E925" s="31" t="s">
        <v>28</v>
      </c>
      <c r="F925" s="33">
        <v>22.98</v>
      </c>
      <c r="G925" s="33">
        <v>1.0</v>
      </c>
      <c r="H925" s="33">
        <v>6.894</v>
      </c>
    </row>
    <row r="926">
      <c r="A926" s="31" t="s">
        <v>1000</v>
      </c>
      <c r="B926" s="32">
        <v>41908.0</v>
      </c>
      <c r="C926" s="31" t="s">
        <v>47</v>
      </c>
      <c r="D926" s="31" t="s">
        <v>44</v>
      </c>
      <c r="E926" s="31" t="s">
        <v>45</v>
      </c>
      <c r="F926" s="33">
        <v>16.704</v>
      </c>
      <c r="G926" s="33">
        <v>6.0</v>
      </c>
      <c r="H926" s="33">
        <v>1.2528</v>
      </c>
    </row>
    <row r="927">
      <c r="A927" s="31" t="s">
        <v>1001</v>
      </c>
      <c r="B927" s="34">
        <v>41966.0</v>
      </c>
      <c r="C927" s="31" t="s">
        <v>11</v>
      </c>
      <c r="D927" s="31" t="s">
        <v>36</v>
      </c>
      <c r="E927" s="31" t="s">
        <v>31</v>
      </c>
      <c r="F927" s="33">
        <v>14.67</v>
      </c>
      <c r="G927" s="33">
        <v>3.0</v>
      </c>
      <c r="H927" s="33">
        <v>6.7482</v>
      </c>
    </row>
    <row r="928">
      <c r="A928" s="31" t="s">
        <v>1002</v>
      </c>
      <c r="B928" s="32">
        <v>41652.0</v>
      </c>
      <c r="C928" s="31" t="s">
        <v>11</v>
      </c>
      <c r="D928" s="31" t="s">
        <v>44</v>
      </c>
      <c r="E928" s="31" t="s">
        <v>45</v>
      </c>
      <c r="F928" s="33">
        <v>37.408</v>
      </c>
      <c r="G928" s="33">
        <v>7.0</v>
      </c>
      <c r="H928" s="33">
        <v>13.0928</v>
      </c>
    </row>
    <row r="929">
      <c r="A929" s="31" t="s">
        <v>1003</v>
      </c>
      <c r="B929" s="34">
        <v>41926.0</v>
      </c>
      <c r="C929" s="31" t="s">
        <v>11</v>
      </c>
      <c r="D929" s="31" t="s">
        <v>176</v>
      </c>
      <c r="E929" s="31" t="s">
        <v>45</v>
      </c>
      <c r="F929" s="33">
        <v>177.0</v>
      </c>
      <c r="G929" s="33">
        <v>3.0</v>
      </c>
      <c r="H929" s="33">
        <v>30.09</v>
      </c>
    </row>
    <row r="930">
      <c r="A930" s="31" t="s">
        <v>1004</v>
      </c>
      <c r="B930" s="34">
        <v>41961.0</v>
      </c>
      <c r="C930" s="31" t="s">
        <v>38</v>
      </c>
      <c r="D930" s="31" t="s">
        <v>52</v>
      </c>
      <c r="E930" s="31" t="s">
        <v>28</v>
      </c>
      <c r="F930" s="33">
        <v>137.54</v>
      </c>
      <c r="G930" s="33">
        <v>2.0</v>
      </c>
      <c r="H930" s="33">
        <v>55.016</v>
      </c>
    </row>
    <row r="931">
      <c r="A931" s="31" t="s">
        <v>1005</v>
      </c>
      <c r="B931" s="32">
        <v>41705.0</v>
      </c>
      <c r="C931" s="31" t="s">
        <v>38</v>
      </c>
      <c r="D931" s="31" t="s">
        <v>52</v>
      </c>
      <c r="E931" s="31" t="s">
        <v>28</v>
      </c>
      <c r="F931" s="33">
        <v>20.65</v>
      </c>
      <c r="G931" s="33">
        <v>5.0</v>
      </c>
      <c r="H931" s="33">
        <v>9.499</v>
      </c>
    </row>
    <row r="932">
      <c r="A932" s="31" t="s">
        <v>1006</v>
      </c>
      <c r="B932" s="34">
        <v>41962.0</v>
      </c>
      <c r="C932" s="31" t="s">
        <v>11</v>
      </c>
      <c r="D932" s="31" t="s">
        <v>67</v>
      </c>
      <c r="E932" s="31" t="s">
        <v>31</v>
      </c>
      <c r="F932" s="33">
        <v>221.16</v>
      </c>
      <c r="G932" s="33">
        <v>4.0</v>
      </c>
      <c r="H932" s="33">
        <v>57.5016</v>
      </c>
    </row>
    <row r="933">
      <c r="A933" s="31" t="s">
        <v>1007</v>
      </c>
      <c r="B933" s="32">
        <v>41904.0</v>
      </c>
      <c r="C933" s="31" t="s">
        <v>11</v>
      </c>
      <c r="D933" s="31" t="s">
        <v>79</v>
      </c>
      <c r="E933" s="31" t="s">
        <v>45</v>
      </c>
      <c r="F933" s="33">
        <v>97.44</v>
      </c>
      <c r="G933" s="33">
        <v>3.0</v>
      </c>
      <c r="H933" s="33">
        <v>35.0784</v>
      </c>
    </row>
    <row r="934">
      <c r="A934" s="31" t="s">
        <v>1008</v>
      </c>
      <c r="B934" s="32">
        <v>41724.0</v>
      </c>
      <c r="C934" s="31" t="s">
        <v>11</v>
      </c>
      <c r="D934" s="31" t="s">
        <v>27</v>
      </c>
      <c r="E934" s="31" t="s">
        <v>28</v>
      </c>
      <c r="F934" s="33">
        <v>18.75</v>
      </c>
      <c r="G934" s="33">
        <v>5.0</v>
      </c>
      <c r="H934" s="33">
        <v>9.0</v>
      </c>
    </row>
    <row r="935">
      <c r="A935" s="31" t="s">
        <v>1009</v>
      </c>
      <c r="B935" s="32">
        <v>41842.0</v>
      </c>
      <c r="C935" s="31" t="s">
        <v>11</v>
      </c>
      <c r="D935" s="31" t="s">
        <v>41</v>
      </c>
      <c r="E935" s="31" t="s">
        <v>31</v>
      </c>
      <c r="F935" s="33">
        <v>26.632</v>
      </c>
      <c r="G935" s="33">
        <v>1.0</v>
      </c>
      <c r="H935" s="33">
        <v>1.3316</v>
      </c>
    </row>
    <row r="936">
      <c r="A936" s="31" t="s">
        <v>1010</v>
      </c>
      <c r="B936" s="34">
        <v>41971.0</v>
      </c>
      <c r="C936" s="31" t="s">
        <v>38</v>
      </c>
      <c r="D936" s="31" t="s">
        <v>297</v>
      </c>
      <c r="E936" s="31" t="s">
        <v>31</v>
      </c>
      <c r="F936" s="33">
        <v>64.02</v>
      </c>
      <c r="G936" s="33">
        <v>6.0</v>
      </c>
      <c r="H936" s="33">
        <v>29.4492</v>
      </c>
    </row>
    <row r="937">
      <c r="A937" s="31" t="s">
        <v>1011</v>
      </c>
      <c r="B937" s="32">
        <v>41800.0</v>
      </c>
      <c r="C937" s="31" t="s">
        <v>38</v>
      </c>
      <c r="D937" s="31" t="s">
        <v>36</v>
      </c>
      <c r="E937" s="31" t="s">
        <v>31</v>
      </c>
      <c r="F937" s="33">
        <v>491.55</v>
      </c>
      <c r="G937" s="33">
        <v>5.0</v>
      </c>
      <c r="H937" s="33">
        <v>240.8595</v>
      </c>
    </row>
    <row r="938">
      <c r="A938" s="31" t="s">
        <v>1012</v>
      </c>
      <c r="B938" s="32">
        <v>41948.0</v>
      </c>
      <c r="C938" s="31" t="s">
        <v>11</v>
      </c>
      <c r="D938" s="31" t="s">
        <v>77</v>
      </c>
      <c r="E938" s="31" t="s">
        <v>45</v>
      </c>
      <c r="F938" s="33">
        <v>273.568</v>
      </c>
      <c r="G938" s="33">
        <v>2.0</v>
      </c>
      <c r="H938" s="33">
        <v>-34.196</v>
      </c>
    </row>
    <row r="939">
      <c r="A939" s="31" t="s">
        <v>1013</v>
      </c>
      <c r="B939" s="34">
        <v>41995.0</v>
      </c>
      <c r="C939" s="31" t="s">
        <v>47</v>
      </c>
      <c r="D939" s="31" t="s">
        <v>79</v>
      </c>
      <c r="E939" s="31" t="s">
        <v>45</v>
      </c>
      <c r="F939" s="33">
        <v>296.712</v>
      </c>
      <c r="G939" s="33">
        <v>13.0</v>
      </c>
      <c r="H939" s="33">
        <v>100.1403</v>
      </c>
    </row>
    <row r="940">
      <c r="A940" s="31" t="s">
        <v>1014</v>
      </c>
      <c r="B940" s="32">
        <v>41911.0</v>
      </c>
      <c r="C940" s="31" t="s">
        <v>11</v>
      </c>
      <c r="D940" s="31" t="s">
        <v>52</v>
      </c>
      <c r="E940" s="31" t="s">
        <v>28</v>
      </c>
      <c r="F940" s="33">
        <v>10.048</v>
      </c>
      <c r="G940" s="33">
        <v>2.0</v>
      </c>
      <c r="H940" s="33">
        <v>3.14</v>
      </c>
    </row>
    <row r="941">
      <c r="A941" s="31" t="s">
        <v>1015</v>
      </c>
      <c r="B941" s="32">
        <v>41871.0</v>
      </c>
      <c r="C941" s="31" t="s">
        <v>38</v>
      </c>
      <c r="D941" s="31" t="s">
        <v>113</v>
      </c>
      <c r="E941" s="31" t="s">
        <v>59</v>
      </c>
      <c r="F941" s="33">
        <v>500.24</v>
      </c>
      <c r="G941" s="33">
        <v>13.0</v>
      </c>
      <c r="H941" s="33">
        <v>145.0696</v>
      </c>
    </row>
    <row r="942">
      <c r="A942" s="31" t="s">
        <v>1016</v>
      </c>
      <c r="B942" s="34">
        <v>41962.0</v>
      </c>
      <c r="C942" s="31" t="s">
        <v>47</v>
      </c>
      <c r="D942" s="31" t="s">
        <v>77</v>
      </c>
      <c r="E942" s="31" t="s">
        <v>45</v>
      </c>
      <c r="F942" s="33">
        <v>5.88</v>
      </c>
      <c r="G942" s="33">
        <v>1.0</v>
      </c>
      <c r="H942" s="33">
        <v>1.9845</v>
      </c>
    </row>
    <row r="943">
      <c r="A943" s="31" t="s">
        <v>1017</v>
      </c>
      <c r="B943" s="34">
        <v>41954.0</v>
      </c>
      <c r="C943" s="31" t="s">
        <v>11</v>
      </c>
      <c r="D943" s="31" t="s">
        <v>49</v>
      </c>
      <c r="E943" s="31" t="s">
        <v>31</v>
      </c>
      <c r="F943" s="33">
        <v>10.984</v>
      </c>
      <c r="G943" s="33">
        <v>2.0</v>
      </c>
      <c r="H943" s="33">
        <v>-7.9634</v>
      </c>
    </row>
    <row r="944">
      <c r="A944" s="31" t="s">
        <v>1018</v>
      </c>
      <c r="B944" s="32">
        <v>41684.0</v>
      </c>
      <c r="C944" s="31" t="s">
        <v>38</v>
      </c>
      <c r="D944" s="31" t="s">
        <v>52</v>
      </c>
      <c r="E944" s="31" t="s">
        <v>28</v>
      </c>
      <c r="F944" s="33">
        <v>239.97</v>
      </c>
      <c r="G944" s="33">
        <v>3.0</v>
      </c>
      <c r="H944" s="33">
        <v>86.3892</v>
      </c>
    </row>
    <row r="945">
      <c r="A945" s="31" t="s">
        <v>1019</v>
      </c>
      <c r="B945" s="32">
        <v>41808.0</v>
      </c>
      <c r="C945" s="31" t="s">
        <v>11</v>
      </c>
      <c r="D945" s="31" t="s">
        <v>27</v>
      </c>
      <c r="E945" s="31" t="s">
        <v>28</v>
      </c>
      <c r="F945" s="33">
        <v>139.8</v>
      </c>
      <c r="G945" s="33">
        <v>5.0</v>
      </c>
      <c r="H945" s="33">
        <v>12.2325</v>
      </c>
    </row>
    <row r="946">
      <c r="A946" s="31" t="s">
        <v>1020</v>
      </c>
      <c r="B946" s="32">
        <v>41846.0</v>
      </c>
      <c r="C946" s="31" t="s">
        <v>11</v>
      </c>
      <c r="D946" s="31" t="s">
        <v>41</v>
      </c>
      <c r="E946" s="31" t="s">
        <v>31</v>
      </c>
      <c r="F946" s="33">
        <v>2177.584</v>
      </c>
      <c r="G946" s="33">
        <v>8.0</v>
      </c>
      <c r="H946" s="33">
        <v>-3701.8928</v>
      </c>
    </row>
    <row r="947">
      <c r="A947" s="31" t="s">
        <v>1021</v>
      </c>
      <c r="B947" s="32">
        <v>41948.0</v>
      </c>
      <c r="C947" s="31" t="s">
        <v>11</v>
      </c>
      <c r="D947" s="31" t="s">
        <v>113</v>
      </c>
      <c r="E947" s="31" t="s">
        <v>59</v>
      </c>
      <c r="F947" s="33">
        <v>149.9</v>
      </c>
      <c r="G947" s="33">
        <v>5.0</v>
      </c>
      <c r="H947" s="33">
        <v>40.473</v>
      </c>
    </row>
    <row r="948">
      <c r="A948" s="31" t="s">
        <v>1022</v>
      </c>
      <c r="B948" s="32">
        <v>41780.0</v>
      </c>
      <c r="C948" s="31" t="s">
        <v>11</v>
      </c>
      <c r="D948" s="31" t="s">
        <v>41</v>
      </c>
      <c r="E948" s="31" t="s">
        <v>31</v>
      </c>
      <c r="F948" s="33">
        <v>56.064</v>
      </c>
      <c r="G948" s="33">
        <v>6.0</v>
      </c>
      <c r="H948" s="33">
        <v>21.024</v>
      </c>
    </row>
    <row r="949">
      <c r="A949" s="31" t="s">
        <v>1023</v>
      </c>
      <c r="B949" s="32">
        <v>41950.0</v>
      </c>
      <c r="C949" s="31" t="s">
        <v>11</v>
      </c>
      <c r="D949" s="31" t="s">
        <v>211</v>
      </c>
      <c r="E949" s="31" t="s">
        <v>28</v>
      </c>
      <c r="F949" s="33">
        <v>25.92</v>
      </c>
      <c r="G949" s="33">
        <v>5.0</v>
      </c>
      <c r="H949" s="33">
        <v>9.072</v>
      </c>
    </row>
    <row r="950">
      <c r="A950" s="31" t="s">
        <v>1024</v>
      </c>
      <c r="B950" s="32">
        <v>41866.0</v>
      </c>
      <c r="C950" s="31" t="s">
        <v>11</v>
      </c>
      <c r="D950" s="31" t="s">
        <v>27</v>
      </c>
      <c r="E950" s="31" t="s">
        <v>28</v>
      </c>
      <c r="F950" s="33">
        <v>152.91</v>
      </c>
      <c r="G950" s="33">
        <v>3.0</v>
      </c>
      <c r="H950" s="33">
        <v>42.8148</v>
      </c>
    </row>
    <row r="951">
      <c r="A951" s="31" t="s">
        <v>1025</v>
      </c>
      <c r="B951" s="34">
        <v>41989.0</v>
      </c>
      <c r="C951" s="31" t="s">
        <v>11</v>
      </c>
      <c r="D951" s="31" t="s">
        <v>41</v>
      </c>
      <c r="E951" s="31" t="s">
        <v>31</v>
      </c>
      <c r="F951" s="33">
        <v>319.968</v>
      </c>
      <c r="G951" s="33">
        <v>4.0</v>
      </c>
      <c r="H951" s="33">
        <v>95.9904</v>
      </c>
    </row>
    <row r="952">
      <c r="A952" s="31" t="s">
        <v>1026</v>
      </c>
      <c r="B952" s="32">
        <v>41777.0</v>
      </c>
      <c r="C952" s="31" t="s">
        <v>11</v>
      </c>
      <c r="D952" s="31" t="s">
        <v>41</v>
      </c>
      <c r="E952" s="31" t="s">
        <v>31</v>
      </c>
      <c r="F952" s="33">
        <v>3.984</v>
      </c>
      <c r="G952" s="33">
        <v>1.0</v>
      </c>
      <c r="H952" s="33">
        <v>1.4442</v>
      </c>
    </row>
    <row r="953">
      <c r="A953" s="31" t="s">
        <v>1027</v>
      </c>
      <c r="B953" s="32">
        <v>41793.0</v>
      </c>
      <c r="C953" s="31" t="s">
        <v>11</v>
      </c>
      <c r="D953" s="31" t="s">
        <v>49</v>
      </c>
      <c r="E953" s="31" t="s">
        <v>31</v>
      </c>
      <c r="F953" s="33">
        <v>15.936</v>
      </c>
      <c r="G953" s="33">
        <v>4.0</v>
      </c>
      <c r="H953" s="33">
        <v>5.1792</v>
      </c>
    </row>
    <row r="954">
      <c r="A954" s="31" t="s">
        <v>1028</v>
      </c>
      <c r="B954" s="32">
        <v>41741.0</v>
      </c>
      <c r="C954" s="31" t="s">
        <v>38</v>
      </c>
      <c r="D954" s="31" t="s">
        <v>27</v>
      </c>
      <c r="E954" s="31" t="s">
        <v>28</v>
      </c>
      <c r="F954" s="33">
        <v>39.68</v>
      </c>
      <c r="G954" s="33">
        <v>2.0</v>
      </c>
      <c r="H954" s="33">
        <v>16.2688</v>
      </c>
    </row>
    <row r="955">
      <c r="A955" s="31" t="s">
        <v>1029</v>
      </c>
      <c r="B955" s="32">
        <v>41949.0</v>
      </c>
      <c r="C955" s="31" t="s">
        <v>11</v>
      </c>
      <c r="D955" s="31" t="s">
        <v>173</v>
      </c>
      <c r="E955" s="31" t="s">
        <v>59</v>
      </c>
      <c r="F955" s="33">
        <v>43.68</v>
      </c>
      <c r="G955" s="33">
        <v>6.0</v>
      </c>
      <c r="H955" s="33">
        <v>20.9664</v>
      </c>
    </row>
    <row r="956">
      <c r="A956" s="31" t="s">
        <v>1030</v>
      </c>
      <c r="B956" s="32">
        <v>41944.0</v>
      </c>
      <c r="C956" s="31" t="s">
        <v>38</v>
      </c>
      <c r="D956" s="31" t="s">
        <v>44</v>
      </c>
      <c r="E956" s="31" t="s">
        <v>45</v>
      </c>
      <c r="F956" s="33">
        <v>68.704</v>
      </c>
      <c r="G956" s="33">
        <v>2.0</v>
      </c>
      <c r="H956" s="33">
        <v>16.3172</v>
      </c>
    </row>
    <row r="957">
      <c r="A957" s="31" t="s">
        <v>1031</v>
      </c>
      <c r="B957" s="32">
        <v>41863.0</v>
      </c>
      <c r="C957" s="31" t="s">
        <v>11</v>
      </c>
      <c r="D957" s="31" t="s">
        <v>173</v>
      </c>
      <c r="E957" s="31" t="s">
        <v>59</v>
      </c>
      <c r="F957" s="33">
        <v>14.04</v>
      </c>
      <c r="G957" s="33">
        <v>3.0</v>
      </c>
      <c r="H957" s="33">
        <v>6.7392</v>
      </c>
    </row>
    <row r="958">
      <c r="A958" s="31" t="s">
        <v>1032</v>
      </c>
      <c r="B958" s="32">
        <v>41732.0</v>
      </c>
      <c r="C958" s="31" t="s">
        <v>38</v>
      </c>
      <c r="D958" s="31" t="s">
        <v>27</v>
      </c>
      <c r="E958" s="31" t="s">
        <v>28</v>
      </c>
      <c r="F958" s="33">
        <v>11.16</v>
      </c>
      <c r="G958" s="33">
        <v>2.0</v>
      </c>
      <c r="H958" s="33">
        <v>5.58</v>
      </c>
    </row>
    <row r="959">
      <c r="A959" s="31" t="s">
        <v>1033</v>
      </c>
      <c r="B959" s="32">
        <v>41662.0</v>
      </c>
      <c r="C959" s="31" t="s">
        <v>11</v>
      </c>
      <c r="D959" s="31" t="s">
        <v>297</v>
      </c>
      <c r="E959" s="31" t="s">
        <v>31</v>
      </c>
      <c r="F959" s="33">
        <v>5.94</v>
      </c>
      <c r="G959" s="33">
        <v>3.0</v>
      </c>
      <c r="H959" s="33">
        <v>0.0</v>
      </c>
    </row>
    <row r="960">
      <c r="A960" s="31" t="s">
        <v>1034</v>
      </c>
      <c r="B960" s="32">
        <v>41908.0</v>
      </c>
      <c r="C960" s="31" t="s">
        <v>11</v>
      </c>
      <c r="D960" s="31" t="s">
        <v>49</v>
      </c>
      <c r="E960" s="31" t="s">
        <v>31</v>
      </c>
      <c r="F960" s="33">
        <v>153.824</v>
      </c>
      <c r="G960" s="33">
        <v>11.0</v>
      </c>
      <c r="H960" s="33">
        <v>38.456</v>
      </c>
    </row>
    <row r="961">
      <c r="A961" s="31" t="s">
        <v>1035</v>
      </c>
      <c r="B961" s="32">
        <v>41807.0</v>
      </c>
      <c r="C961" s="31" t="s">
        <v>11</v>
      </c>
      <c r="D961" s="31" t="s">
        <v>49</v>
      </c>
      <c r="E961" s="31" t="s">
        <v>31</v>
      </c>
      <c r="F961" s="33">
        <v>62.016</v>
      </c>
      <c r="G961" s="33">
        <v>2.0</v>
      </c>
      <c r="H961" s="33">
        <v>22.4808</v>
      </c>
    </row>
    <row r="962">
      <c r="A962" s="31" t="s">
        <v>1036</v>
      </c>
      <c r="B962" s="32">
        <v>41726.0</v>
      </c>
      <c r="C962" s="31" t="s">
        <v>47</v>
      </c>
      <c r="D962" s="31" t="s">
        <v>44</v>
      </c>
      <c r="E962" s="31" t="s">
        <v>45</v>
      </c>
      <c r="F962" s="33">
        <v>330.588</v>
      </c>
      <c r="G962" s="33">
        <v>1.0</v>
      </c>
      <c r="H962" s="33">
        <v>-143.2548</v>
      </c>
    </row>
    <row r="963">
      <c r="A963" s="31" t="s">
        <v>1037</v>
      </c>
      <c r="B963" s="34">
        <v>41955.0</v>
      </c>
      <c r="C963" s="31" t="s">
        <v>11</v>
      </c>
      <c r="D963" s="31" t="s">
        <v>41</v>
      </c>
      <c r="E963" s="31" t="s">
        <v>31</v>
      </c>
      <c r="F963" s="33">
        <v>25.128</v>
      </c>
      <c r="G963" s="33">
        <v>3.0</v>
      </c>
      <c r="H963" s="33">
        <v>-6.9102</v>
      </c>
    </row>
    <row r="964">
      <c r="A964" s="31" t="s">
        <v>1038</v>
      </c>
      <c r="B964" s="32">
        <v>41734.0</v>
      </c>
      <c r="C964" s="31" t="s">
        <v>38</v>
      </c>
      <c r="D964" s="31" t="s">
        <v>401</v>
      </c>
      <c r="E964" s="31" t="s">
        <v>59</v>
      </c>
      <c r="F964" s="33">
        <v>115.36</v>
      </c>
      <c r="G964" s="33">
        <v>7.0</v>
      </c>
      <c r="H964" s="33">
        <v>56.5264</v>
      </c>
    </row>
    <row r="965">
      <c r="A965" s="31" t="s">
        <v>1039</v>
      </c>
      <c r="B965" s="34">
        <v>41967.0</v>
      </c>
      <c r="C965" s="31" t="s">
        <v>47</v>
      </c>
      <c r="D965" s="31" t="s">
        <v>44</v>
      </c>
      <c r="E965" s="31" t="s">
        <v>45</v>
      </c>
      <c r="F965" s="33">
        <v>5.742</v>
      </c>
      <c r="G965" s="33">
        <v>3.0</v>
      </c>
      <c r="H965" s="33">
        <v>-4.5936</v>
      </c>
    </row>
    <row r="966">
      <c r="A966" s="31" t="s">
        <v>1040</v>
      </c>
      <c r="B966" s="32">
        <v>41831.0</v>
      </c>
      <c r="C966" s="31" t="s">
        <v>11</v>
      </c>
      <c r="D966" s="31" t="s">
        <v>79</v>
      </c>
      <c r="E966" s="31" t="s">
        <v>45</v>
      </c>
      <c r="F966" s="33">
        <v>164.85</v>
      </c>
      <c r="G966" s="33">
        <v>3.0</v>
      </c>
      <c r="H966" s="33">
        <v>47.8065</v>
      </c>
    </row>
    <row r="967">
      <c r="A967" s="31" t="s">
        <v>1041</v>
      </c>
      <c r="B967" s="34">
        <v>42001.0</v>
      </c>
      <c r="C967" s="31" t="s">
        <v>11</v>
      </c>
      <c r="D967" s="31" t="s">
        <v>27</v>
      </c>
      <c r="E967" s="31" t="s">
        <v>28</v>
      </c>
      <c r="F967" s="33">
        <v>998.82</v>
      </c>
      <c r="G967" s="33">
        <v>9.0</v>
      </c>
      <c r="H967" s="33">
        <v>29.9646</v>
      </c>
    </row>
    <row r="968">
      <c r="A968" s="31" t="s">
        <v>1042</v>
      </c>
      <c r="B968" s="32">
        <v>41700.0</v>
      </c>
      <c r="C968" s="31" t="s">
        <v>38</v>
      </c>
      <c r="D968" s="31" t="s">
        <v>77</v>
      </c>
      <c r="E968" s="31" t="s">
        <v>45</v>
      </c>
      <c r="F968" s="33">
        <v>3.424</v>
      </c>
      <c r="G968" s="33">
        <v>1.0</v>
      </c>
      <c r="H968" s="33">
        <v>1.07</v>
      </c>
    </row>
    <row r="969">
      <c r="A969" s="31" t="s">
        <v>1043</v>
      </c>
      <c r="B969" s="34">
        <v>41954.0</v>
      </c>
      <c r="C969" s="31" t="s">
        <v>47</v>
      </c>
      <c r="D969" s="31" t="s">
        <v>79</v>
      </c>
      <c r="E969" s="31" t="s">
        <v>45</v>
      </c>
      <c r="F969" s="33">
        <v>46.35</v>
      </c>
      <c r="G969" s="33">
        <v>5.0</v>
      </c>
      <c r="H969" s="33">
        <v>21.7845</v>
      </c>
    </row>
    <row r="970">
      <c r="A970" s="31" t="s">
        <v>1044</v>
      </c>
      <c r="B970" s="32">
        <v>41660.0</v>
      </c>
      <c r="C970" s="31" t="s">
        <v>11</v>
      </c>
      <c r="D970" s="31" t="s">
        <v>75</v>
      </c>
      <c r="E970" s="31" t="s">
        <v>59</v>
      </c>
      <c r="F970" s="33">
        <v>25.248</v>
      </c>
      <c r="G970" s="33">
        <v>3.0</v>
      </c>
      <c r="H970" s="33">
        <v>4.1028</v>
      </c>
    </row>
    <row r="971">
      <c r="A971" s="31" t="s">
        <v>1045</v>
      </c>
      <c r="B971" s="32">
        <v>42288.0</v>
      </c>
      <c r="C971" s="31" t="s">
        <v>1046</v>
      </c>
      <c r="D971" s="31" t="s">
        <v>11</v>
      </c>
      <c r="E971" s="31" t="s">
        <v>59</v>
      </c>
      <c r="F971" s="33">
        <v>957.5775</v>
      </c>
      <c r="G971" s="33">
        <v>5.0</v>
      </c>
      <c r="H971" s="33">
        <v>-383.031</v>
      </c>
    </row>
    <row r="972">
      <c r="A972" s="31" t="s">
        <v>1047</v>
      </c>
      <c r="B972" s="32">
        <v>42330.0</v>
      </c>
      <c r="C972" s="31" t="s">
        <v>1048</v>
      </c>
      <c r="D972" s="31" t="s">
        <v>47</v>
      </c>
      <c r="E972" s="31" t="s">
        <v>31</v>
      </c>
      <c r="F972" s="33">
        <v>68.81</v>
      </c>
      <c r="G972" s="33">
        <v>5.0</v>
      </c>
      <c r="H972" s="33">
        <v>-123.858</v>
      </c>
    </row>
    <row r="973">
      <c r="A973" s="31" t="s">
        <v>1049</v>
      </c>
      <c r="B973" s="32">
        <v>42272.0</v>
      </c>
      <c r="C973" s="31" t="s">
        <v>1050</v>
      </c>
      <c r="D973" s="31" t="s">
        <v>11</v>
      </c>
      <c r="E973" s="31" t="s">
        <v>28</v>
      </c>
      <c r="F973" s="33">
        <v>1044.63</v>
      </c>
      <c r="G973" s="33">
        <v>3.0</v>
      </c>
      <c r="H973" s="33">
        <v>240.2649</v>
      </c>
    </row>
    <row r="974">
      <c r="A974" s="31" t="s">
        <v>1051</v>
      </c>
      <c r="B974" s="32">
        <v>42264.0</v>
      </c>
      <c r="C974" s="31" t="s">
        <v>1052</v>
      </c>
      <c r="D974" s="31" t="s">
        <v>11</v>
      </c>
      <c r="E974" s="31" t="s">
        <v>45</v>
      </c>
      <c r="F974" s="33">
        <v>3083.43</v>
      </c>
      <c r="G974" s="33">
        <v>7.0</v>
      </c>
      <c r="H974" s="33">
        <v>-1665.0522</v>
      </c>
    </row>
    <row r="975">
      <c r="A975" s="31" t="s">
        <v>1053</v>
      </c>
      <c r="B975" s="32">
        <v>42365.0</v>
      </c>
      <c r="C975" s="31" t="s">
        <v>1054</v>
      </c>
      <c r="D975" s="31" t="s">
        <v>47</v>
      </c>
      <c r="E975" s="31" t="s">
        <v>31</v>
      </c>
      <c r="F975" s="33">
        <v>113.328</v>
      </c>
      <c r="G975" s="33">
        <v>9.0</v>
      </c>
      <c r="H975" s="33">
        <v>35.415</v>
      </c>
    </row>
    <row r="976">
      <c r="A976" s="31" t="s">
        <v>1055</v>
      </c>
      <c r="B976" s="32">
        <v>42112.0</v>
      </c>
      <c r="C976" s="31" t="s">
        <v>1056</v>
      </c>
      <c r="D976" s="31" t="s">
        <v>11</v>
      </c>
      <c r="E976" s="31" t="s">
        <v>31</v>
      </c>
      <c r="F976" s="33">
        <v>38.22</v>
      </c>
      <c r="G976" s="33">
        <v>6.0</v>
      </c>
      <c r="H976" s="33">
        <v>17.9634</v>
      </c>
    </row>
    <row r="977">
      <c r="A977" s="31" t="s">
        <v>1057</v>
      </c>
      <c r="B977" s="32">
        <v>42332.0</v>
      </c>
      <c r="C977" s="31" t="s">
        <v>1058</v>
      </c>
      <c r="D977" s="31" t="s">
        <v>11</v>
      </c>
      <c r="E977" s="31" t="s">
        <v>28</v>
      </c>
      <c r="F977" s="33">
        <v>13.98</v>
      </c>
      <c r="G977" s="33">
        <v>2.0</v>
      </c>
      <c r="H977" s="33">
        <v>6.1512</v>
      </c>
    </row>
    <row r="978">
      <c r="A978" s="31" t="s">
        <v>1059</v>
      </c>
      <c r="B978" s="32">
        <v>42124.0</v>
      </c>
      <c r="C978" s="31" t="s">
        <v>1060</v>
      </c>
      <c r="D978" s="31" t="s">
        <v>47</v>
      </c>
      <c r="E978" s="31" t="s">
        <v>31</v>
      </c>
      <c r="F978" s="33">
        <v>213.115</v>
      </c>
      <c r="G978" s="33">
        <v>5.0</v>
      </c>
      <c r="H978" s="33">
        <v>-15.2225</v>
      </c>
    </row>
    <row r="979">
      <c r="A979" s="31" t="s">
        <v>1061</v>
      </c>
      <c r="B979" s="32">
        <v>42120.0</v>
      </c>
      <c r="C979" s="31" t="s">
        <v>1062</v>
      </c>
      <c r="D979" s="31" t="s">
        <v>11</v>
      </c>
      <c r="E979" s="31" t="s">
        <v>59</v>
      </c>
      <c r="F979" s="33">
        <v>831.936</v>
      </c>
      <c r="G979" s="33">
        <v>8.0</v>
      </c>
      <c r="H979" s="33">
        <v>-114.3912</v>
      </c>
    </row>
    <row r="980">
      <c r="A980" s="31" t="s">
        <v>1063</v>
      </c>
      <c r="B980" s="32">
        <v>42250.0</v>
      </c>
      <c r="C980" s="31" t="s">
        <v>1064</v>
      </c>
      <c r="D980" s="31" t="s">
        <v>38</v>
      </c>
      <c r="E980" s="31" t="s">
        <v>59</v>
      </c>
      <c r="F980" s="33">
        <v>200.984</v>
      </c>
      <c r="G980" s="33">
        <v>7.0</v>
      </c>
      <c r="H980" s="33">
        <v>62.8075</v>
      </c>
    </row>
    <row r="981">
      <c r="A981" s="31" t="s">
        <v>1065</v>
      </c>
      <c r="B981" s="32">
        <v>42035.0</v>
      </c>
      <c r="C981" s="31" t="s">
        <v>1066</v>
      </c>
      <c r="D981" s="31" t="s">
        <v>11</v>
      </c>
      <c r="E981" s="31" t="s">
        <v>31</v>
      </c>
      <c r="F981" s="33">
        <v>12.96</v>
      </c>
      <c r="G981" s="33">
        <v>2.0</v>
      </c>
      <c r="H981" s="33">
        <v>6.2208</v>
      </c>
    </row>
    <row r="982">
      <c r="A982" s="31" t="s">
        <v>1067</v>
      </c>
      <c r="B982" s="32">
        <v>42321.0</v>
      </c>
      <c r="C982" s="31" t="s">
        <v>1068</v>
      </c>
      <c r="D982" s="31" t="s">
        <v>11</v>
      </c>
      <c r="E982" s="31" t="s">
        <v>28</v>
      </c>
      <c r="F982" s="33">
        <v>238.896</v>
      </c>
      <c r="G982" s="33">
        <v>6.0</v>
      </c>
      <c r="H982" s="33">
        <v>-26.8758</v>
      </c>
    </row>
    <row r="983">
      <c r="A983" s="31" t="s">
        <v>1069</v>
      </c>
      <c r="B983" s="32">
        <v>42292.0</v>
      </c>
      <c r="C983" s="31" t="s">
        <v>1070</v>
      </c>
      <c r="D983" s="31" t="s">
        <v>47</v>
      </c>
      <c r="E983" s="31" t="s">
        <v>31</v>
      </c>
      <c r="F983" s="33">
        <v>339.96</v>
      </c>
      <c r="G983" s="33">
        <v>5.0</v>
      </c>
      <c r="H983" s="33">
        <v>67.992</v>
      </c>
    </row>
    <row r="984">
      <c r="A984" s="31" t="s">
        <v>1071</v>
      </c>
      <c r="B984" s="32">
        <v>42065.0</v>
      </c>
      <c r="C984" s="31" t="s">
        <v>1072</v>
      </c>
      <c r="D984" s="31" t="s">
        <v>11</v>
      </c>
      <c r="E984" s="31" t="s">
        <v>28</v>
      </c>
      <c r="F984" s="33">
        <v>787.53</v>
      </c>
      <c r="G984" s="33">
        <v>3.0</v>
      </c>
      <c r="H984" s="33">
        <v>165.3813</v>
      </c>
    </row>
    <row r="985">
      <c r="A985" s="31" t="s">
        <v>1073</v>
      </c>
      <c r="B985" s="32">
        <v>42099.0</v>
      </c>
      <c r="C985" s="31" t="s">
        <v>1074</v>
      </c>
      <c r="D985" s="31" t="s">
        <v>38</v>
      </c>
      <c r="E985" s="31" t="s">
        <v>59</v>
      </c>
      <c r="F985" s="33">
        <v>157.794</v>
      </c>
      <c r="G985" s="33">
        <v>1.0</v>
      </c>
      <c r="H985" s="33">
        <v>-115.7156</v>
      </c>
    </row>
    <row r="986">
      <c r="A986" s="31" t="s">
        <v>1075</v>
      </c>
      <c r="B986" s="32">
        <v>42254.0</v>
      </c>
      <c r="C986" s="31" t="s">
        <v>1076</v>
      </c>
      <c r="D986" s="31" t="s">
        <v>11</v>
      </c>
      <c r="E986" s="31" t="s">
        <v>28</v>
      </c>
      <c r="F986" s="33">
        <v>671.93</v>
      </c>
      <c r="G986" s="33">
        <v>7.0</v>
      </c>
      <c r="H986" s="33">
        <v>20.1579</v>
      </c>
    </row>
    <row r="987">
      <c r="A987" s="31" t="s">
        <v>1077</v>
      </c>
      <c r="B987" s="32">
        <v>42155.0</v>
      </c>
      <c r="C987" s="31" t="s">
        <v>1078</v>
      </c>
      <c r="D987" s="31" t="s">
        <v>38</v>
      </c>
      <c r="E987" s="31" t="s">
        <v>28</v>
      </c>
      <c r="F987" s="33">
        <v>58.38</v>
      </c>
      <c r="G987" s="33">
        <v>7.0</v>
      </c>
      <c r="H987" s="33">
        <v>26.271</v>
      </c>
    </row>
    <row r="988">
      <c r="A988" s="31" t="s">
        <v>1079</v>
      </c>
      <c r="B988" s="32">
        <v>42152.0</v>
      </c>
      <c r="C988" s="31" t="s">
        <v>1080</v>
      </c>
      <c r="D988" s="31" t="s">
        <v>47</v>
      </c>
      <c r="E988" s="31" t="s">
        <v>28</v>
      </c>
      <c r="F988" s="33">
        <v>6.63</v>
      </c>
      <c r="G988" s="33">
        <v>3.0</v>
      </c>
      <c r="H988" s="33">
        <v>1.7901</v>
      </c>
    </row>
    <row r="989">
      <c r="A989" s="31" t="s">
        <v>1081</v>
      </c>
      <c r="B989" s="32">
        <v>42366.0</v>
      </c>
      <c r="C989" s="31" t="s">
        <v>1082</v>
      </c>
      <c r="D989" s="31" t="s">
        <v>11</v>
      </c>
      <c r="E989" s="31" t="s">
        <v>45</v>
      </c>
      <c r="F989" s="33">
        <v>54.384</v>
      </c>
      <c r="G989" s="33">
        <v>2.0</v>
      </c>
      <c r="H989" s="33">
        <v>1.3596</v>
      </c>
    </row>
    <row r="990">
      <c r="A990" s="31" t="s">
        <v>1083</v>
      </c>
      <c r="B990" s="32">
        <v>42329.0</v>
      </c>
      <c r="C990" s="31" t="s">
        <v>1062</v>
      </c>
      <c r="D990" s="31" t="s">
        <v>11</v>
      </c>
      <c r="E990" s="31" t="s">
        <v>45</v>
      </c>
      <c r="F990" s="33">
        <v>396.802</v>
      </c>
      <c r="G990" s="33">
        <v>7.0</v>
      </c>
      <c r="H990" s="33">
        <v>-11.3372</v>
      </c>
    </row>
    <row r="991">
      <c r="A991" s="31" t="s">
        <v>1084</v>
      </c>
      <c r="B991" s="32">
        <v>42353.0</v>
      </c>
      <c r="C991" s="31" t="s">
        <v>1085</v>
      </c>
      <c r="D991" s="31" t="s">
        <v>47</v>
      </c>
      <c r="E991" s="31" t="s">
        <v>45</v>
      </c>
      <c r="F991" s="33">
        <v>3.28</v>
      </c>
      <c r="G991" s="33">
        <v>1.0</v>
      </c>
      <c r="H991" s="33">
        <v>1.4104</v>
      </c>
    </row>
    <row r="992">
      <c r="A992" s="31" t="s">
        <v>1086</v>
      </c>
      <c r="B992" s="32">
        <v>42289.0</v>
      </c>
      <c r="C992" s="31" t="s">
        <v>1087</v>
      </c>
      <c r="D992" s="31" t="s">
        <v>47</v>
      </c>
      <c r="E992" s="31" t="s">
        <v>45</v>
      </c>
      <c r="F992" s="33">
        <v>899.136</v>
      </c>
      <c r="G992" s="33">
        <v>4.0</v>
      </c>
      <c r="H992" s="33">
        <v>112.392</v>
      </c>
    </row>
    <row r="993">
      <c r="A993" s="31" t="s">
        <v>1088</v>
      </c>
      <c r="B993" s="32">
        <v>42308.0</v>
      </c>
      <c r="C993" s="31" t="s">
        <v>1089</v>
      </c>
      <c r="D993" s="31" t="s">
        <v>38</v>
      </c>
      <c r="E993" s="31" t="s">
        <v>28</v>
      </c>
      <c r="F993" s="33">
        <v>14.28</v>
      </c>
      <c r="G993" s="33">
        <v>7.0</v>
      </c>
      <c r="H993" s="33">
        <v>6.7116</v>
      </c>
    </row>
    <row r="994">
      <c r="A994" s="31" t="s">
        <v>1090</v>
      </c>
      <c r="B994" s="32">
        <v>42044.0</v>
      </c>
      <c r="C994" s="31" t="s">
        <v>1091</v>
      </c>
      <c r="D994" s="31" t="s">
        <v>38</v>
      </c>
      <c r="E994" s="31" t="s">
        <v>31</v>
      </c>
      <c r="F994" s="33">
        <v>20.8</v>
      </c>
      <c r="G994" s="33">
        <v>2.0</v>
      </c>
      <c r="H994" s="33">
        <v>6.5</v>
      </c>
    </row>
    <row r="995">
      <c r="A995" s="31" t="s">
        <v>1092</v>
      </c>
      <c r="B995" s="32">
        <v>42006.0</v>
      </c>
      <c r="C995" s="31" t="s">
        <v>1093</v>
      </c>
      <c r="D995" s="31" t="s">
        <v>38</v>
      </c>
      <c r="E995" s="31" t="s">
        <v>45</v>
      </c>
      <c r="F995" s="33">
        <v>23.68</v>
      </c>
      <c r="G995" s="33">
        <v>2.0</v>
      </c>
      <c r="H995" s="33">
        <v>8.88</v>
      </c>
    </row>
    <row r="996">
      <c r="A996" s="31" t="s">
        <v>1094</v>
      </c>
      <c r="B996" s="32">
        <v>42362.0</v>
      </c>
      <c r="C996" s="31" t="s">
        <v>1095</v>
      </c>
      <c r="D996" s="31" t="s">
        <v>11</v>
      </c>
      <c r="E996" s="31" t="s">
        <v>45</v>
      </c>
      <c r="F996" s="33">
        <v>5.584</v>
      </c>
      <c r="G996" s="33">
        <v>2.0</v>
      </c>
      <c r="H996" s="33">
        <v>1.8148</v>
      </c>
    </row>
    <row r="997">
      <c r="A997" s="31" t="s">
        <v>1096</v>
      </c>
      <c r="B997" s="32">
        <v>42225.0</v>
      </c>
      <c r="C997" s="31" t="s">
        <v>1097</v>
      </c>
      <c r="D997" s="31" t="s">
        <v>38</v>
      </c>
      <c r="E997" s="31" t="s">
        <v>31</v>
      </c>
      <c r="F997" s="33">
        <v>2.2</v>
      </c>
      <c r="G997" s="33">
        <v>1.0</v>
      </c>
      <c r="H997" s="33">
        <v>0.968</v>
      </c>
    </row>
    <row r="998">
      <c r="A998" s="31" t="s">
        <v>1098</v>
      </c>
      <c r="B998" s="32">
        <v>42063.0</v>
      </c>
      <c r="C998" s="31" t="s">
        <v>1099</v>
      </c>
      <c r="D998" s="31" t="s">
        <v>11</v>
      </c>
      <c r="E998" s="31" t="s">
        <v>59</v>
      </c>
      <c r="F998" s="33">
        <v>161.568</v>
      </c>
      <c r="G998" s="33">
        <v>2.0</v>
      </c>
      <c r="H998" s="33">
        <v>-28.2744</v>
      </c>
    </row>
    <row r="999">
      <c r="A999" s="31" t="s">
        <v>1100</v>
      </c>
      <c r="B999" s="32">
        <v>42336.0</v>
      </c>
      <c r="C999" s="31" t="s">
        <v>1101</v>
      </c>
      <c r="D999" s="31" t="s">
        <v>38</v>
      </c>
      <c r="E999" s="31" t="s">
        <v>31</v>
      </c>
      <c r="F999" s="33">
        <v>12.132</v>
      </c>
      <c r="G999" s="33">
        <v>9.0</v>
      </c>
      <c r="H999" s="33">
        <v>-8.4924</v>
      </c>
    </row>
    <row r="1000">
      <c r="A1000" s="31" t="s">
        <v>1102</v>
      </c>
      <c r="B1000" s="32">
        <v>42318.0</v>
      </c>
      <c r="C1000" s="31" t="s">
        <v>1103</v>
      </c>
      <c r="D1000" s="31" t="s">
        <v>11</v>
      </c>
      <c r="E1000" s="31" t="s">
        <v>28</v>
      </c>
      <c r="F1000" s="33">
        <v>79.9</v>
      </c>
      <c r="G1000" s="33">
        <v>2.0</v>
      </c>
      <c r="H1000" s="33">
        <v>35.156</v>
      </c>
    </row>
    <row r="1001">
      <c r="A1001" s="31" t="s">
        <v>1104</v>
      </c>
      <c r="B1001" s="32">
        <v>42215.0</v>
      </c>
      <c r="C1001" s="31" t="s">
        <v>1076</v>
      </c>
      <c r="D1001" s="31" t="s">
        <v>11</v>
      </c>
      <c r="E1001" s="31" t="s">
        <v>28</v>
      </c>
      <c r="F1001" s="33">
        <v>209.93</v>
      </c>
      <c r="G1001" s="33">
        <v>7.0</v>
      </c>
      <c r="H1001" s="33">
        <v>92.3692</v>
      </c>
    </row>
    <row r="1002">
      <c r="A1002" s="31" t="s">
        <v>1105</v>
      </c>
      <c r="B1002" s="32">
        <v>42273.0</v>
      </c>
      <c r="C1002" s="31" t="s">
        <v>1106</v>
      </c>
      <c r="D1002" s="31" t="s">
        <v>11</v>
      </c>
      <c r="E1002" s="31" t="s">
        <v>31</v>
      </c>
      <c r="F1002" s="33">
        <v>2.08</v>
      </c>
      <c r="G1002" s="33">
        <v>5.0</v>
      </c>
      <c r="H1002" s="33">
        <v>-3.432</v>
      </c>
    </row>
    <row r="1003">
      <c r="A1003" s="31" t="s">
        <v>1107</v>
      </c>
      <c r="B1003" s="32">
        <v>42310.0</v>
      </c>
      <c r="C1003" s="31" t="s">
        <v>1108</v>
      </c>
      <c r="D1003" s="31" t="s">
        <v>11</v>
      </c>
      <c r="E1003" s="31" t="s">
        <v>28</v>
      </c>
      <c r="F1003" s="33">
        <v>1038.84</v>
      </c>
      <c r="G1003" s="33">
        <v>5.0</v>
      </c>
      <c r="H1003" s="33">
        <v>51.942</v>
      </c>
    </row>
    <row r="1004">
      <c r="A1004" s="31" t="s">
        <v>1109</v>
      </c>
      <c r="B1004" s="32">
        <v>42273.0</v>
      </c>
      <c r="C1004" s="31" t="s">
        <v>1052</v>
      </c>
      <c r="D1004" s="31" t="s">
        <v>11</v>
      </c>
      <c r="E1004" s="31" t="s">
        <v>28</v>
      </c>
      <c r="F1004" s="33">
        <v>141.76</v>
      </c>
      <c r="G1004" s="33">
        <v>5.0</v>
      </c>
      <c r="H1004" s="33">
        <v>47.844</v>
      </c>
    </row>
    <row r="1005">
      <c r="A1005" s="31" t="s">
        <v>1110</v>
      </c>
      <c r="B1005" s="32">
        <v>42128.0</v>
      </c>
      <c r="C1005" s="31" t="s">
        <v>1111</v>
      </c>
      <c r="D1005" s="31" t="s">
        <v>38</v>
      </c>
      <c r="E1005" s="31" t="s">
        <v>45</v>
      </c>
      <c r="F1005" s="33">
        <v>26.8</v>
      </c>
      <c r="G1005" s="33">
        <v>2.0</v>
      </c>
      <c r="H1005" s="33">
        <v>12.864</v>
      </c>
    </row>
    <row r="1006">
      <c r="A1006" s="31" t="s">
        <v>1112</v>
      </c>
      <c r="B1006" s="32">
        <v>42248.0</v>
      </c>
      <c r="C1006" s="31" t="s">
        <v>1113</v>
      </c>
      <c r="D1006" s="31" t="s">
        <v>11</v>
      </c>
      <c r="E1006" s="31" t="s">
        <v>28</v>
      </c>
      <c r="F1006" s="33">
        <v>4.752</v>
      </c>
      <c r="G1006" s="33">
        <v>1.0</v>
      </c>
      <c r="H1006" s="33">
        <v>1.6038</v>
      </c>
    </row>
    <row r="1007">
      <c r="A1007" s="31" t="s">
        <v>1114</v>
      </c>
      <c r="B1007" s="32">
        <v>42177.0</v>
      </c>
      <c r="C1007" s="31" t="s">
        <v>1115</v>
      </c>
      <c r="D1007" s="31" t="s">
        <v>11</v>
      </c>
      <c r="E1007" s="31" t="s">
        <v>28</v>
      </c>
      <c r="F1007" s="33">
        <v>4.96</v>
      </c>
      <c r="G1007" s="33">
        <v>4.0</v>
      </c>
      <c r="H1007" s="33">
        <v>2.3312</v>
      </c>
    </row>
    <row r="1008">
      <c r="A1008" s="31" t="s">
        <v>1116</v>
      </c>
      <c r="B1008" s="32">
        <v>42358.0</v>
      </c>
      <c r="C1008" s="31" t="s">
        <v>1117</v>
      </c>
      <c r="D1008" s="31" t="s">
        <v>11</v>
      </c>
      <c r="E1008" s="31" t="s">
        <v>31</v>
      </c>
      <c r="F1008" s="33">
        <v>88.8</v>
      </c>
      <c r="G1008" s="33">
        <v>4.0</v>
      </c>
      <c r="H1008" s="33">
        <v>-2.22</v>
      </c>
    </row>
    <row r="1009">
      <c r="A1009" s="31" t="s">
        <v>1118</v>
      </c>
      <c r="B1009" s="32">
        <v>42122.0</v>
      </c>
      <c r="C1009" s="31" t="s">
        <v>1119</v>
      </c>
      <c r="D1009" s="31" t="s">
        <v>11</v>
      </c>
      <c r="E1009" s="31" t="s">
        <v>31</v>
      </c>
      <c r="F1009" s="33">
        <v>8.652</v>
      </c>
      <c r="G1009" s="33">
        <v>3.0</v>
      </c>
      <c r="H1009" s="33">
        <v>-20.3322</v>
      </c>
    </row>
    <row r="1010">
      <c r="A1010" s="31" t="s">
        <v>1120</v>
      </c>
      <c r="B1010" s="32">
        <v>42181.0</v>
      </c>
      <c r="C1010" s="31" t="s">
        <v>1121</v>
      </c>
      <c r="D1010" s="31" t="s">
        <v>38</v>
      </c>
      <c r="E1010" s="31" t="s">
        <v>31</v>
      </c>
      <c r="F1010" s="33">
        <v>41.9</v>
      </c>
      <c r="G1010" s="33">
        <v>2.0</v>
      </c>
      <c r="H1010" s="33">
        <v>8.799</v>
      </c>
    </row>
    <row r="1011">
      <c r="A1011" s="31" t="s">
        <v>1122</v>
      </c>
      <c r="B1011" s="32">
        <v>42335.0</v>
      </c>
      <c r="C1011" s="31" t="s">
        <v>1123</v>
      </c>
      <c r="D1011" s="31" t="s">
        <v>11</v>
      </c>
      <c r="E1011" s="31" t="s">
        <v>59</v>
      </c>
      <c r="F1011" s="33">
        <v>375.4575</v>
      </c>
      <c r="G1011" s="33">
        <v>3.0</v>
      </c>
      <c r="H1011" s="33">
        <v>-157.0095</v>
      </c>
    </row>
    <row r="1012">
      <c r="A1012" s="31" t="s">
        <v>1124</v>
      </c>
      <c r="B1012" s="32">
        <v>42341.0</v>
      </c>
      <c r="C1012" s="31" t="s">
        <v>1125</v>
      </c>
      <c r="D1012" s="31" t="s">
        <v>38</v>
      </c>
      <c r="E1012" s="31" t="s">
        <v>45</v>
      </c>
      <c r="F1012" s="33">
        <v>482.34</v>
      </c>
      <c r="G1012" s="33">
        <v>4.0</v>
      </c>
      <c r="H1012" s="33">
        <v>-337.638</v>
      </c>
    </row>
    <row r="1013">
      <c r="A1013" s="31" t="s">
        <v>1126</v>
      </c>
      <c r="B1013" s="32">
        <v>42308.0</v>
      </c>
      <c r="C1013" s="31" t="s">
        <v>1048</v>
      </c>
      <c r="D1013" s="31" t="s">
        <v>47</v>
      </c>
      <c r="E1013" s="31" t="s">
        <v>31</v>
      </c>
      <c r="F1013" s="33">
        <v>70.12</v>
      </c>
      <c r="G1013" s="33">
        <v>4.0</v>
      </c>
      <c r="H1013" s="33">
        <v>21.036</v>
      </c>
    </row>
    <row r="1014">
      <c r="A1014" s="31" t="s">
        <v>1127</v>
      </c>
      <c r="B1014" s="32">
        <v>42353.0</v>
      </c>
      <c r="C1014" s="31" t="s">
        <v>1128</v>
      </c>
      <c r="D1014" s="31" t="s">
        <v>11</v>
      </c>
      <c r="E1014" s="31" t="s">
        <v>28</v>
      </c>
      <c r="F1014" s="33">
        <v>103.92</v>
      </c>
      <c r="G1014" s="33">
        <v>4.0</v>
      </c>
      <c r="H1014" s="33">
        <v>36.372</v>
      </c>
    </row>
    <row r="1015">
      <c r="A1015" s="31" t="s">
        <v>1129</v>
      </c>
      <c r="B1015" s="32">
        <v>42021.0</v>
      </c>
      <c r="C1015" s="31" t="s">
        <v>1130</v>
      </c>
      <c r="D1015" s="31" t="s">
        <v>47</v>
      </c>
      <c r="E1015" s="31" t="s">
        <v>31</v>
      </c>
      <c r="F1015" s="33">
        <v>254.744</v>
      </c>
      <c r="G1015" s="33">
        <v>7.0</v>
      </c>
      <c r="H1015" s="33">
        <v>-312.0614</v>
      </c>
    </row>
    <row r="1016">
      <c r="A1016" s="31" t="s">
        <v>1131</v>
      </c>
      <c r="B1016" s="32">
        <v>42358.0</v>
      </c>
      <c r="C1016" s="31" t="s">
        <v>1132</v>
      </c>
      <c r="D1016" s="31" t="s">
        <v>38</v>
      </c>
      <c r="E1016" s="31" t="s">
        <v>45</v>
      </c>
      <c r="F1016" s="33">
        <v>55.48</v>
      </c>
      <c r="G1016" s="33">
        <v>1.0</v>
      </c>
      <c r="H1016" s="33">
        <v>26.6304</v>
      </c>
    </row>
    <row r="1017">
      <c r="A1017" s="31" t="s">
        <v>1133</v>
      </c>
      <c r="B1017" s="32">
        <v>42365.0</v>
      </c>
      <c r="C1017" s="31" t="s">
        <v>1134</v>
      </c>
      <c r="D1017" s="31" t="s">
        <v>11</v>
      </c>
      <c r="E1017" s="31" t="s">
        <v>59</v>
      </c>
      <c r="F1017" s="33">
        <v>105.42</v>
      </c>
      <c r="G1017" s="33">
        <v>2.0</v>
      </c>
      <c r="H1017" s="33">
        <v>51.6558</v>
      </c>
    </row>
    <row r="1018">
      <c r="A1018" s="31" t="s">
        <v>1135</v>
      </c>
      <c r="B1018" s="32">
        <v>42079.0</v>
      </c>
      <c r="C1018" s="31" t="s">
        <v>1136</v>
      </c>
      <c r="D1018" s="31" t="s">
        <v>11</v>
      </c>
      <c r="E1018" s="31" t="s">
        <v>59</v>
      </c>
      <c r="F1018" s="33">
        <v>2.74</v>
      </c>
      <c r="G1018" s="33">
        <v>1.0</v>
      </c>
      <c r="H1018" s="33">
        <v>0.7398</v>
      </c>
    </row>
    <row r="1019">
      <c r="A1019" s="31" t="s">
        <v>1137</v>
      </c>
      <c r="B1019" s="32">
        <v>42085.0</v>
      </c>
      <c r="C1019" s="31" t="s">
        <v>1138</v>
      </c>
      <c r="D1019" s="31" t="s">
        <v>11</v>
      </c>
      <c r="E1019" s="31" t="s">
        <v>31</v>
      </c>
      <c r="F1019" s="33">
        <v>18.392</v>
      </c>
      <c r="G1019" s="33">
        <v>1.0</v>
      </c>
      <c r="H1019" s="33">
        <v>5.2877</v>
      </c>
    </row>
    <row r="1020">
      <c r="A1020" s="31" t="s">
        <v>1139</v>
      </c>
      <c r="B1020" s="32">
        <v>42364.0</v>
      </c>
      <c r="C1020" s="31" t="s">
        <v>1140</v>
      </c>
      <c r="D1020" s="31" t="s">
        <v>11</v>
      </c>
      <c r="E1020" s="31" t="s">
        <v>45</v>
      </c>
      <c r="F1020" s="33">
        <v>22.2</v>
      </c>
      <c r="G1020" s="33">
        <v>5.0</v>
      </c>
      <c r="H1020" s="33">
        <v>10.434</v>
      </c>
    </row>
    <row r="1021">
      <c r="A1021" s="31" t="s">
        <v>1141</v>
      </c>
      <c r="B1021" s="32">
        <v>42250.0</v>
      </c>
      <c r="C1021" s="31" t="s">
        <v>1142</v>
      </c>
      <c r="D1021" s="31" t="s">
        <v>11</v>
      </c>
      <c r="E1021" s="31" t="s">
        <v>45</v>
      </c>
      <c r="F1021" s="33">
        <v>36.336</v>
      </c>
      <c r="G1021" s="33">
        <v>3.0</v>
      </c>
      <c r="H1021" s="33">
        <v>-7.2672</v>
      </c>
    </row>
    <row r="1022">
      <c r="A1022" s="31" t="s">
        <v>1143</v>
      </c>
      <c r="B1022" s="32">
        <v>42315.0</v>
      </c>
      <c r="C1022" s="31" t="s">
        <v>1144</v>
      </c>
      <c r="D1022" s="31" t="s">
        <v>38</v>
      </c>
      <c r="E1022" s="31" t="s">
        <v>28</v>
      </c>
      <c r="F1022" s="33">
        <v>190.72</v>
      </c>
      <c r="G1022" s="33">
        <v>1.0</v>
      </c>
      <c r="H1022" s="33">
        <v>11.92</v>
      </c>
    </row>
    <row r="1023">
      <c r="A1023" s="31" t="s">
        <v>1145</v>
      </c>
      <c r="B1023" s="32">
        <v>42341.0</v>
      </c>
      <c r="C1023" s="31" t="s">
        <v>1087</v>
      </c>
      <c r="D1023" s="31" t="s">
        <v>47</v>
      </c>
      <c r="E1023" s="31" t="s">
        <v>45</v>
      </c>
      <c r="F1023" s="33">
        <v>10.752</v>
      </c>
      <c r="G1023" s="33">
        <v>4.0</v>
      </c>
      <c r="H1023" s="33">
        <v>3.36</v>
      </c>
    </row>
    <row r="1024">
      <c r="A1024" s="31" t="s">
        <v>1146</v>
      </c>
      <c r="B1024" s="32">
        <v>42345.0</v>
      </c>
      <c r="C1024" s="31" t="s">
        <v>1147</v>
      </c>
      <c r="D1024" s="31" t="s">
        <v>11</v>
      </c>
      <c r="E1024" s="31" t="s">
        <v>59</v>
      </c>
      <c r="F1024" s="33">
        <v>152.94</v>
      </c>
      <c r="G1024" s="33">
        <v>3.0</v>
      </c>
      <c r="H1024" s="33">
        <v>41.2938</v>
      </c>
    </row>
    <row r="1025">
      <c r="A1025" s="31" t="s">
        <v>1148</v>
      </c>
      <c r="B1025" s="32">
        <v>42356.0</v>
      </c>
      <c r="C1025" s="31" t="s">
        <v>1149</v>
      </c>
      <c r="D1025" s="31" t="s">
        <v>11</v>
      </c>
      <c r="E1025" s="31" t="s">
        <v>45</v>
      </c>
      <c r="F1025" s="33">
        <v>646.776</v>
      </c>
      <c r="G1025" s="33">
        <v>9.0</v>
      </c>
      <c r="H1025" s="33">
        <v>-145.5246</v>
      </c>
    </row>
    <row r="1026">
      <c r="A1026" s="31" t="s">
        <v>1150</v>
      </c>
      <c r="B1026" s="32">
        <v>42323.0</v>
      </c>
      <c r="C1026" s="31" t="s">
        <v>1125</v>
      </c>
      <c r="D1026" s="31" t="s">
        <v>38</v>
      </c>
      <c r="E1026" s="31" t="s">
        <v>31</v>
      </c>
      <c r="F1026" s="33">
        <v>250.272</v>
      </c>
      <c r="G1026" s="33">
        <v>9.0</v>
      </c>
      <c r="H1026" s="33">
        <v>15.642</v>
      </c>
    </row>
    <row r="1027">
      <c r="A1027" s="31" t="s">
        <v>1151</v>
      </c>
      <c r="B1027" s="32">
        <v>42345.0</v>
      </c>
      <c r="C1027" s="31" t="s">
        <v>1152</v>
      </c>
      <c r="D1027" s="31" t="s">
        <v>11</v>
      </c>
      <c r="E1027" s="31" t="s">
        <v>28</v>
      </c>
      <c r="F1027" s="33">
        <v>3.96</v>
      </c>
      <c r="G1027" s="33">
        <v>2.0</v>
      </c>
      <c r="H1027" s="33">
        <v>0.0</v>
      </c>
    </row>
    <row r="1028">
      <c r="A1028" s="31" t="s">
        <v>1153</v>
      </c>
      <c r="B1028" s="32">
        <v>42265.0</v>
      </c>
      <c r="C1028" s="31" t="s">
        <v>1154</v>
      </c>
      <c r="D1028" s="31" t="s">
        <v>11</v>
      </c>
      <c r="E1028" s="31" t="s">
        <v>28</v>
      </c>
      <c r="F1028" s="33">
        <v>160.72</v>
      </c>
      <c r="G1028" s="33">
        <v>14.0</v>
      </c>
      <c r="H1028" s="33">
        <v>78.7528</v>
      </c>
    </row>
    <row r="1029">
      <c r="A1029" s="31" t="s">
        <v>1155</v>
      </c>
      <c r="B1029" s="32">
        <v>42257.0</v>
      </c>
      <c r="C1029" s="31" t="s">
        <v>1156</v>
      </c>
      <c r="D1029" s="31" t="s">
        <v>11</v>
      </c>
      <c r="E1029" s="31" t="s">
        <v>28</v>
      </c>
      <c r="F1029" s="33">
        <v>51.52</v>
      </c>
      <c r="G1029" s="33">
        <v>4.0</v>
      </c>
      <c r="H1029" s="33">
        <v>1.5456</v>
      </c>
    </row>
    <row r="1030">
      <c r="A1030" s="31" t="s">
        <v>1157</v>
      </c>
      <c r="B1030" s="32">
        <v>42188.0</v>
      </c>
      <c r="C1030" s="31" t="s">
        <v>1158</v>
      </c>
      <c r="D1030" s="31" t="s">
        <v>11</v>
      </c>
      <c r="E1030" s="31" t="s">
        <v>59</v>
      </c>
      <c r="F1030" s="33">
        <v>70.98</v>
      </c>
      <c r="G1030" s="33">
        <v>1.0</v>
      </c>
      <c r="H1030" s="33">
        <v>4.9686</v>
      </c>
    </row>
    <row r="1031">
      <c r="A1031" s="31" t="s">
        <v>1159</v>
      </c>
      <c r="B1031" s="32">
        <v>42337.0</v>
      </c>
      <c r="C1031" s="31" t="s">
        <v>1160</v>
      </c>
      <c r="D1031" s="31" t="s">
        <v>38</v>
      </c>
      <c r="E1031" s="31" t="s">
        <v>31</v>
      </c>
      <c r="F1031" s="33">
        <v>301.96</v>
      </c>
      <c r="G1031" s="33">
        <v>2.0</v>
      </c>
      <c r="H1031" s="33">
        <v>87.5684</v>
      </c>
    </row>
    <row r="1032">
      <c r="A1032" s="31" t="s">
        <v>1161</v>
      </c>
      <c r="B1032" s="32">
        <v>42281.0</v>
      </c>
      <c r="C1032" s="31" t="s">
        <v>1162</v>
      </c>
      <c r="D1032" s="31" t="s">
        <v>38</v>
      </c>
      <c r="E1032" s="31" t="s">
        <v>59</v>
      </c>
      <c r="F1032" s="33">
        <v>392.94</v>
      </c>
      <c r="G1032" s="33">
        <v>3.0</v>
      </c>
      <c r="H1032" s="33">
        <v>43.2234</v>
      </c>
    </row>
    <row r="1033">
      <c r="A1033" s="31" t="s">
        <v>1163</v>
      </c>
      <c r="B1033" s="32">
        <v>42240.0</v>
      </c>
      <c r="C1033" s="31" t="s">
        <v>1164</v>
      </c>
      <c r="D1033" s="31" t="s">
        <v>11</v>
      </c>
      <c r="E1033" s="31" t="s">
        <v>31</v>
      </c>
      <c r="F1033" s="33">
        <v>999.432</v>
      </c>
      <c r="G1033" s="33">
        <v>7.0</v>
      </c>
      <c r="H1033" s="33">
        <v>124.929</v>
      </c>
    </row>
    <row r="1034">
      <c r="A1034" s="31" t="s">
        <v>1165</v>
      </c>
      <c r="B1034" s="32">
        <v>42091.0</v>
      </c>
      <c r="C1034" s="31" t="s">
        <v>1166</v>
      </c>
      <c r="D1034" s="31" t="s">
        <v>11</v>
      </c>
      <c r="E1034" s="31" t="s">
        <v>28</v>
      </c>
      <c r="F1034" s="33">
        <v>166.24</v>
      </c>
      <c r="G1034" s="33">
        <v>1.0</v>
      </c>
      <c r="H1034" s="33">
        <v>24.936</v>
      </c>
    </row>
    <row r="1035">
      <c r="A1035" s="31" t="s">
        <v>1167</v>
      </c>
      <c r="B1035" s="32">
        <v>42138.0</v>
      </c>
      <c r="C1035" s="31" t="s">
        <v>1168</v>
      </c>
      <c r="D1035" s="31" t="s">
        <v>47</v>
      </c>
      <c r="E1035" s="31" t="s">
        <v>45</v>
      </c>
      <c r="F1035" s="33">
        <v>198.272</v>
      </c>
      <c r="G1035" s="33">
        <v>8.0</v>
      </c>
      <c r="H1035" s="33">
        <v>17.3488</v>
      </c>
    </row>
    <row r="1036">
      <c r="A1036" s="31" t="s">
        <v>1169</v>
      </c>
      <c r="B1036" s="32">
        <v>42103.0</v>
      </c>
      <c r="C1036" s="31" t="s">
        <v>1170</v>
      </c>
      <c r="D1036" s="31" t="s">
        <v>11</v>
      </c>
      <c r="E1036" s="31" t="s">
        <v>28</v>
      </c>
      <c r="F1036" s="33">
        <v>369.912</v>
      </c>
      <c r="G1036" s="33">
        <v>3.0</v>
      </c>
      <c r="H1036" s="33">
        <v>-13.8717</v>
      </c>
    </row>
    <row r="1037">
      <c r="A1037" s="31" t="s">
        <v>1171</v>
      </c>
      <c r="B1037" s="32">
        <v>42345.0</v>
      </c>
      <c r="C1037" s="31" t="s">
        <v>1172</v>
      </c>
      <c r="D1037" s="31" t="s">
        <v>11</v>
      </c>
      <c r="E1037" s="31" t="s">
        <v>28</v>
      </c>
      <c r="F1037" s="33">
        <v>79.92</v>
      </c>
      <c r="G1037" s="33">
        <v>4.0</v>
      </c>
      <c r="H1037" s="33">
        <v>28.7712</v>
      </c>
    </row>
    <row r="1038">
      <c r="A1038" s="31" t="s">
        <v>1173</v>
      </c>
      <c r="B1038" s="32">
        <v>42247.0</v>
      </c>
      <c r="C1038" s="31" t="s">
        <v>1174</v>
      </c>
      <c r="D1038" s="31" t="s">
        <v>11</v>
      </c>
      <c r="E1038" s="31" t="s">
        <v>28</v>
      </c>
      <c r="F1038" s="33">
        <v>58.32</v>
      </c>
      <c r="G1038" s="33">
        <v>9.0</v>
      </c>
      <c r="H1038" s="33">
        <v>27.9936</v>
      </c>
    </row>
    <row r="1039">
      <c r="A1039" s="31" t="s">
        <v>1175</v>
      </c>
      <c r="B1039" s="32">
        <v>42043.0</v>
      </c>
      <c r="C1039" s="31" t="s">
        <v>1176</v>
      </c>
      <c r="D1039" s="31" t="s">
        <v>11</v>
      </c>
      <c r="E1039" s="31" t="s">
        <v>45</v>
      </c>
      <c r="F1039" s="33">
        <v>107.982</v>
      </c>
      <c r="G1039" s="33">
        <v>3.0</v>
      </c>
      <c r="H1039" s="33">
        <v>-26.9955</v>
      </c>
    </row>
    <row r="1040">
      <c r="A1040" s="31" t="s">
        <v>1177</v>
      </c>
      <c r="B1040" s="32">
        <v>42237.0</v>
      </c>
      <c r="C1040" s="31" t="s">
        <v>1178</v>
      </c>
      <c r="D1040" s="31" t="s">
        <v>47</v>
      </c>
      <c r="E1040" s="31" t="s">
        <v>28</v>
      </c>
      <c r="F1040" s="33">
        <v>544.008</v>
      </c>
      <c r="G1040" s="33">
        <v>3.0</v>
      </c>
      <c r="H1040" s="33">
        <v>40.8006</v>
      </c>
    </row>
    <row r="1041">
      <c r="A1041" s="31" t="s">
        <v>1179</v>
      </c>
      <c r="B1041" s="32">
        <v>42280.0</v>
      </c>
      <c r="C1041" s="31" t="s">
        <v>1180</v>
      </c>
      <c r="D1041" s="31" t="s">
        <v>11</v>
      </c>
      <c r="E1041" s="31" t="s">
        <v>45</v>
      </c>
      <c r="F1041" s="33">
        <v>32.07</v>
      </c>
      <c r="G1041" s="33">
        <v>5.0</v>
      </c>
      <c r="H1041" s="33">
        <v>-22.449</v>
      </c>
    </row>
    <row r="1042">
      <c r="A1042" s="31" t="s">
        <v>1181</v>
      </c>
      <c r="B1042" s="32">
        <v>42147.0</v>
      </c>
      <c r="C1042" s="31" t="s">
        <v>1182</v>
      </c>
      <c r="D1042" s="31" t="s">
        <v>38</v>
      </c>
      <c r="E1042" s="31" t="s">
        <v>59</v>
      </c>
      <c r="F1042" s="33">
        <v>186.69</v>
      </c>
      <c r="G1042" s="33">
        <v>3.0</v>
      </c>
      <c r="H1042" s="33">
        <v>87.7443</v>
      </c>
    </row>
    <row r="1043">
      <c r="A1043" s="31" t="s">
        <v>1183</v>
      </c>
      <c r="B1043" s="32">
        <v>42350.0</v>
      </c>
      <c r="C1043" s="31" t="s">
        <v>1184</v>
      </c>
      <c r="D1043" s="31" t="s">
        <v>11</v>
      </c>
      <c r="E1043" s="31" t="s">
        <v>28</v>
      </c>
      <c r="F1043" s="33">
        <v>348.928</v>
      </c>
      <c r="G1043" s="33">
        <v>2.0</v>
      </c>
      <c r="H1043" s="33">
        <v>34.8928</v>
      </c>
    </row>
    <row r="1044">
      <c r="A1044" s="31" t="s">
        <v>1185</v>
      </c>
      <c r="B1044" s="32">
        <v>42181.0</v>
      </c>
      <c r="C1044" s="31" t="s">
        <v>1186</v>
      </c>
      <c r="D1044" s="31" t="s">
        <v>11</v>
      </c>
      <c r="E1044" s="31" t="s">
        <v>59</v>
      </c>
      <c r="F1044" s="33">
        <v>143.96</v>
      </c>
      <c r="G1044" s="33">
        <v>4.0</v>
      </c>
      <c r="H1044" s="33">
        <v>69.1008</v>
      </c>
    </row>
    <row r="1045">
      <c r="A1045" s="31" t="s">
        <v>1187</v>
      </c>
      <c r="B1045" s="32">
        <v>42362.0</v>
      </c>
      <c r="C1045" s="31" t="s">
        <v>1188</v>
      </c>
      <c r="D1045" s="31" t="s">
        <v>38</v>
      </c>
      <c r="E1045" s="31" t="s">
        <v>45</v>
      </c>
      <c r="F1045" s="33">
        <v>132.79</v>
      </c>
      <c r="G1045" s="33">
        <v>7.0</v>
      </c>
      <c r="H1045" s="33">
        <v>63.7392</v>
      </c>
    </row>
    <row r="1046">
      <c r="A1046" s="31" t="s">
        <v>1189</v>
      </c>
      <c r="B1046" s="32">
        <v>42335.0</v>
      </c>
      <c r="C1046" s="31" t="s">
        <v>1190</v>
      </c>
      <c r="D1046" s="31" t="s">
        <v>11</v>
      </c>
      <c r="E1046" s="31" t="s">
        <v>28</v>
      </c>
      <c r="F1046" s="33">
        <v>283.92</v>
      </c>
      <c r="G1046" s="33">
        <v>5.0</v>
      </c>
      <c r="H1046" s="33">
        <v>17.745</v>
      </c>
    </row>
    <row r="1047">
      <c r="A1047" s="31" t="s">
        <v>1191</v>
      </c>
      <c r="B1047" s="32">
        <v>42038.0</v>
      </c>
      <c r="C1047" s="31" t="s">
        <v>1192</v>
      </c>
      <c r="D1047" s="31" t="s">
        <v>11</v>
      </c>
      <c r="E1047" s="31" t="s">
        <v>31</v>
      </c>
      <c r="F1047" s="33">
        <v>28.4</v>
      </c>
      <c r="G1047" s="33">
        <v>2.0</v>
      </c>
      <c r="H1047" s="33">
        <v>11.076</v>
      </c>
    </row>
    <row r="1048">
      <c r="A1048" s="31" t="s">
        <v>1193</v>
      </c>
      <c r="B1048" s="32">
        <v>42083.0</v>
      </c>
      <c r="C1048" s="31" t="s">
        <v>1194</v>
      </c>
      <c r="D1048" s="31" t="s">
        <v>38</v>
      </c>
      <c r="E1048" s="31" t="s">
        <v>31</v>
      </c>
      <c r="F1048" s="33">
        <v>51.84</v>
      </c>
      <c r="G1048" s="33">
        <v>8.0</v>
      </c>
      <c r="H1048" s="33">
        <v>24.8832</v>
      </c>
    </row>
    <row r="1049">
      <c r="A1049" s="31" t="s">
        <v>1195</v>
      </c>
      <c r="B1049" s="32">
        <v>42328.0</v>
      </c>
      <c r="C1049" s="31" t="s">
        <v>1196</v>
      </c>
      <c r="D1049" s="31" t="s">
        <v>38</v>
      </c>
      <c r="E1049" s="31" t="s">
        <v>45</v>
      </c>
      <c r="F1049" s="33">
        <v>60.45</v>
      </c>
      <c r="G1049" s="33">
        <v>3.0</v>
      </c>
      <c r="H1049" s="33">
        <v>16.3215</v>
      </c>
    </row>
    <row r="1050">
      <c r="A1050" s="31" t="s">
        <v>1197</v>
      </c>
      <c r="B1050" s="32">
        <v>42290.0</v>
      </c>
      <c r="C1050" s="31" t="s">
        <v>1198</v>
      </c>
      <c r="D1050" s="31" t="s">
        <v>11</v>
      </c>
      <c r="E1050" s="31" t="s">
        <v>59</v>
      </c>
      <c r="F1050" s="33">
        <v>83.72</v>
      </c>
      <c r="G1050" s="33">
        <v>7.0</v>
      </c>
      <c r="H1050" s="33">
        <v>23.4416</v>
      </c>
    </row>
    <row r="1051">
      <c r="A1051" s="31" t="s">
        <v>1199</v>
      </c>
      <c r="B1051" s="32">
        <v>42296.0</v>
      </c>
      <c r="C1051" s="31" t="s">
        <v>1052</v>
      </c>
      <c r="D1051" s="31" t="s">
        <v>11</v>
      </c>
      <c r="E1051" s="31" t="s">
        <v>45</v>
      </c>
      <c r="F1051" s="33">
        <v>34.44</v>
      </c>
      <c r="G1051" s="33">
        <v>3.0</v>
      </c>
      <c r="H1051" s="33">
        <v>17.22</v>
      </c>
    </row>
    <row r="1052">
      <c r="A1052" s="31" t="s">
        <v>1200</v>
      </c>
      <c r="B1052" s="32">
        <v>42286.0</v>
      </c>
      <c r="C1052" s="31" t="s">
        <v>1072</v>
      </c>
      <c r="D1052" s="31" t="s">
        <v>11</v>
      </c>
      <c r="E1052" s="31" t="s">
        <v>59</v>
      </c>
      <c r="F1052" s="33">
        <v>30.84</v>
      </c>
      <c r="G1052" s="33">
        <v>2.0</v>
      </c>
      <c r="H1052" s="33">
        <v>8.3268</v>
      </c>
    </row>
    <row r="1053">
      <c r="A1053" s="31" t="s">
        <v>1201</v>
      </c>
      <c r="B1053" s="32">
        <v>42119.0</v>
      </c>
      <c r="C1053" s="31" t="s">
        <v>1202</v>
      </c>
      <c r="D1053" s="31" t="s">
        <v>38</v>
      </c>
      <c r="E1053" s="31" t="s">
        <v>28</v>
      </c>
      <c r="F1053" s="33">
        <v>13.944</v>
      </c>
      <c r="G1053" s="33">
        <v>3.0</v>
      </c>
      <c r="H1053" s="33">
        <v>4.5318</v>
      </c>
    </row>
    <row r="1054">
      <c r="A1054" s="31" t="s">
        <v>1203</v>
      </c>
      <c r="B1054" s="32">
        <v>42155.0</v>
      </c>
      <c r="C1054" s="31" t="s">
        <v>1204</v>
      </c>
      <c r="D1054" s="31" t="s">
        <v>47</v>
      </c>
      <c r="E1054" s="31" t="s">
        <v>45</v>
      </c>
      <c r="F1054" s="33">
        <v>22.2</v>
      </c>
      <c r="G1054" s="33">
        <v>6.0</v>
      </c>
      <c r="H1054" s="33">
        <v>9.102</v>
      </c>
    </row>
    <row r="1055">
      <c r="A1055" s="31" t="s">
        <v>1205</v>
      </c>
      <c r="B1055" s="32">
        <v>42105.0</v>
      </c>
      <c r="C1055" s="31" t="s">
        <v>1206</v>
      </c>
      <c r="D1055" s="31" t="s">
        <v>11</v>
      </c>
      <c r="E1055" s="31" t="s">
        <v>45</v>
      </c>
      <c r="F1055" s="33">
        <v>85.14</v>
      </c>
      <c r="G1055" s="33">
        <v>3.0</v>
      </c>
      <c r="H1055" s="33">
        <v>34.9074</v>
      </c>
    </row>
    <row r="1056">
      <c r="A1056" s="31" t="s">
        <v>1207</v>
      </c>
      <c r="B1056" s="32">
        <v>42282.0</v>
      </c>
      <c r="C1056" s="31" t="s">
        <v>1208</v>
      </c>
      <c r="D1056" s="31" t="s">
        <v>47</v>
      </c>
      <c r="E1056" s="31" t="s">
        <v>59</v>
      </c>
      <c r="F1056" s="33">
        <v>46.2</v>
      </c>
      <c r="G1056" s="33">
        <v>4.0</v>
      </c>
      <c r="H1056" s="33">
        <v>12.936</v>
      </c>
    </row>
    <row r="1057">
      <c r="A1057" s="31" t="s">
        <v>1209</v>
      </c>
      <c r="B1057" s="32">
        <v>42351.0</v>
      </c>
      <c r="C1057" s="31" t="s">
        <v>1210</v>
      </c>
      <c r="D1057" s="31" t="s">
        <v>38</v>
      </c>
      <c r="E1057" s="31" t="s">
        <v>28</v>
      </c>
      <c r="F1057" s="33">
        <v>12.96</v>
      </c>
      <c r="G1057" s="33">
        <v>2.0</v>
      </c>
      <c r="H1057" s="33">
        <v>6.2208</v>
      </c>
    </row>
    <row r="1058">
      <c r="A1058" s="31" t="s">
        <v>1211</v>
      </c>
      <c r="B1058" s="32">
        <v>42153.0</v>
      </c>
      <c r="C1058" s="31" t="s">
        <v>1212</v>
      </c>
      <c r="D1058" s="31" t="s">
        <v>11</v>
      </c>
      <c r="E1058" s="31" t="s">
        <v>28</v>
      </c>
      <c r="F1058" s="33">
        <v>32.4</v>
      </c>
      <c r="G1058" s="33">
        <v>5.0</v>
      </c>
      <c r="H1058" s="33">
        <v>15.552</v>
      </c>
    </row>
    <row r="1059">
      <c r="A1059" s="31" t="s">
        <v>1213</v>
      </c>
      <c r="B1059" s="32">
        <v>42211.0</v>
      </c>
      <c r="C1059" s="31" t="s">
        <v>1214</v>
      </c>
      <c r="D1059" s="31" t="s">
        <v>11</v>
      </c>
      <c r="E1059" s="31" t="s">
        <v>28</v>
      </c>
      <c r="F1059" s="33">
        <v>393.165</v>
      </c>
      <c r="G1059" s="33">
        <v>3.0</v>
      </c>
      <c r="H1059" s="33">
        <v>-204.4458</v>
      </c>
    </row>
    <row r="1060">
      <c r="A1060" s="31" t="s">
        <v>1215</v>
      </c>
      <c r="B1060" s="32">
        <v>42269.0</v>
      </c>
      <c r="C1060" s="31" t="s">
        <v>1216</v>
      </c>
      <c r="D1060" s="31" t="s">
        <v>11</v>
      </c>
      <c r="E1060" s="31" t="s">
        <v>28</v>
      </c>
      <c r="F1060" s="33">
        <v>204.6</v>
      </c>
      <c r="G1060" s="33">
        <v>2.0</v>
      </c>
      <c r="H1060" s="33">
        <v>53.196</v>
      </c>
    </row>
    <row r="1061">
      <c r="A1061" s="31" t="s">
        <v>1217</v>
      </c>
      <c r="B1061" s="32">
        <v>42335.0</v>
      </c>
      <c r="C1061" s="31" t="s">
        <v>1218</v>
      </c>
      <c r="D1061" s="31" t="s">
        <v>47</v>
      </c>
      <c r="E1061" s="31" t="s">
        <v>59</v>
      </c>
      <c r="F1061" s="33">
        <v>6.24</v>
      </c>
      <c r="G1061" s="33">
        <v>2.0</v>
      </c>
      <c r="H1061" s="33">
        <v>3.0576</v>
      </c>
    </row>
    <row r="1062">
      <c r="A1062" s="31" t="s">
        <v>1219</v>
      </c>
      <c r="B1062" s="32">
        <v>42347.0</v>
      </c>
      <c r="C1062" s="31" t="s">
        <v>1220</v>
      </c>
      <c r="D1062" s="31" t="s">
        <v>38</v>
      </c>
      <c r="E1062" s="31" t="s">
        <v>31</v>
      </c>
      <c r="F1062" s="33">
        <v>34.02</v>
      </c>
      <c r="G1062" s="33">
        <v>3.0</v>
      </c>
      <c r="H1062" s="33">
        <v>16.6698</v>
      </c>
    </row>
    <row r="1063">
      <c r="A1063" s="31" t="s">
        <v>1221</v>
      </c>
      <c r="B1063" s="32">
        <v>42073.0</v>
      </c>
      <c r="C1063" s="31" t="s">
        <v>1222</v>
      </c>
      <c r="D1063" s="31" t="s">
        <v>11</v>
      </c>
      <c r="E1063" s="31" t="s">
        <v>31</v>
      </c>
      <c r="F1063" s="33">
        <v>1.112</v>
      </c>
      <c r="G1063" s="33">
        <v>2.0</v>
      </c>
      <c r="H1063" s="33">
        <v>-1.8904</v>
      </c>
    </row>
    <row r="1064">
      <c r="A1064" s="31" t="s">
        <v>1223</v>
      </c>
      <c r="B1064" s="32">
        <v>42092.0</v>
      </c>
      <c r="C1064" s="31" t="s">
        <v>1224</v>
      </c>
      <c r="D1064" s="31" t="s">
        <v>47</v>
      </c>
      <c r="E1064" s="31" t="s">
        <v>59</v>
      </c>
      <c r="F1064" s="33">
        <v>1166.92</v>
      </c>
      <c r="G1064" s="33">
        <v>5.0</v>
      </c>
      <c r="H1064" s="33">
        <v>131.2785</v>
      </c>
    </row>
    <row r="1065">
      <c r="A1065" s="31" t="s">
        <v>1225</v>
      </c>
      <c r="B1065" s="32">
        <v>42305.0</v>
      </c>
      <c r="C1065" s="31" t="s">
        <v>1226</v>
      </c>
      <c r="D1065" s="31" t="s">
        <v>11</v>
      </c>
      <c r="E1065" s="31" t="s">
        <v>59</v>
      </c>
      <c r="F1065" s="33">
        <v>10.67</v>
      </c>
      <c r="G1065" s="33">
        <v>1.0</v>
      </c>
      <c r="H1065" s="33">
        <v>4.9082</v>
      </c>
    </row>
    <row r="1066">
      <c r="A1066" s="31" t="s">
        <v>1227</v>
      </c>
      <c r="B1066" s="32">
        <v>42216.0</v>
      </c>
      <c r="C1066" s="31" t="s">
        <v>1228</v>
      </c>
      <c r="D1066" s="31" t="s">
        <v>11</v>
      </c>
      <c r="E1066" s="31" t="s">
        <v>45</v>
      </c>
      <c r="F1066" s="33">
        <v>2309.65</v>
      </c>
      <c r="G1066" s="33">
        <v>7.0</v>
      </c>
      <c r="H1066" s="33">
        <v>762.1845</v>
      </c>
    </row>
    <row r="1067">
      <c r="A1067" s="31" t="s">
        <v>1229</v>
      </c>
      <c r="B1067" s="32">
        <v>42243.0</v>
      </c>
      <c r="C1067" s="31" t="s">
        <v>1230</v>
      </c>
      <c r="D1067" s="31" t="s">
        <v>11</v>
      </c>
      <c r="E1067" s="31" t="s">
        <v>28</v>
      </c>
      <c r="F1067" s="33">
        <v>484.65</v>
      </c>
      <c r="G1067" s="33">
        <v>3.0</v>
      </c>
      <c r="H1067" s="33">
        <v>92.0835</v>
      </c>
    </row>
    <row r="1068">
      <c r="A1068" s="31" t="s">
        <v>1231</v>
      </c>
      <c r="B1068" s="32">
        <v>42321.0</v>
      </c>
      <c r="C1068" s="31" t="s">
        <v>1232</v>
      </c>
      <c r="D1068" s="31" t="s">
        <v>11</v>
      </c>
      <c r="E1068" s="31" t="s">
        <v>59</v>
      </c>
      <c r="F1068" s="33">
        <v>115.296</v>
      </c>
      <c r="G1068" s="33">
        <v>3.0</v>
      </c>
      <c r="H1068" s="33">
        <v>40.3536</v>
      </c>
    </row>
    <row r="1069">
      <c r="A1069" s="31" t="s">
        <v>1233</v>
      </c>
      <c r="B1069" s="32">
        <v>42314.0</v>
      </c>
      <c r="C1069" s="31" t="s">
        <v>1234</v>
      </c>
      <c r="D1069" s="31" t="s">
        <v>11</v>
      </c>
      <c r="E1069" s="31" t="s">
        <v>28</v>
      </c>
      <c r="F1069" s="33">
        <v>7.08</v>
      </c>
      <c r="G1069" s="33">
        <v>3.0</v>
      </c>
      <c r="H1069" s="33">
        <v>2.478</v>
      </c>
    </row>
    <row r="1070">
      <c r="A1070" s="31" t="s">
        <v>1235</v>
      </c>
      <c r="B1070" s="32">
        <v>42359.0</v>
      </c>
      <c r="C1070" s="31" t="s">
        <v>1236</v>
      </c>
      <c r="D1070" s="31" t="s">
        <v>11</v>
      </c>
      <c r="E1070" s="31" t="s">
        <v>28</v>
      </c>
      <c r="F1070" s="33">
        <v>1618.37</v>
      </c>
      <c r="G1070" s="33">
        <v>13.0</v>
      </c>
      <c r="H1070" s="33">
        <v>356.0414</v>
      </c>
    </row>
    <row r="1071">
      <c r="A1071" s="31" t="s">
        <v>1237</v>
      </c>
      <c r="B1071" s="32">
        <v>42264.0</v>
      </c>
      <c r="C1071" s="31" t="s">
        <v>1238</v>
      </c>
      <c r="D1071" s="31" t="s">
        <v>47</v>
      </c>
      <c r="E1071" s="31" t="s">
        <v>28</v>
      </c>
      <c r="F1071" s="33">
        <v>32.4</v>
      </c>
      <c r="G1071" s="33">
        <v>5.0</v>
      </c>
      <c r="H1071" s="33">
        <v>15.552</v>
      </c>
    </row>
    <row r="1072">
      <c r="A1072" s="31" t="s">
        <v>1239</v>
      </c>
      <c r="B1072" s="32">
        <v>42191.0</v>
      </c>
      <c r="C1072" s="31" t="s">
        <v>1240</v>
      </c>
      <c r="D1072" s="31" t="s">
        <v>38</v>
      </c>
      <c r="E1072" s="31" t="s">
        <v>45</v>
      </c>
      <c r="F1072" s="33">
        <v>13.96</v>
      </c>
      <c r="G1072" s="33">
        <v>2.0</v>
      </c>
      <c r="H1072" s="33">
        <v>6.7008</v>
      </c>
    </row>
    <row r="1073">
      <c r="A1073" s="31" t="s">
        <v>1241</v>
      </c>
      <c r="B1073" s="32">
        <v>42121.0</v>
      </c>
      <c r="C1073" s="31" t="s">
        <v>1242</v>
      </c>
      <c r="D1073" s="31" t="s">
        <v>11</v>
      </c>
      <c r="E1073" s="31" t="s">
        <v>45</v>
      </c>
      <c r="F1073" s="33">
        <v>22.74</v>
      </c>
      <c r="G1073" s="33">
        <v>3.0</v>
      </c>
      <c r="H1073" s="33">
        <v>8.8686</v>
      </c>
    </row>
    <row r="1074">
      <c r="A1074" s="31" t="s">
        <v>1243</v>
      </c>
      <c r="B1074" s="32">
        <v>42171.0</v>
      </c>
      <c r="C1074" s="31" t="s">
        <v>1244</v>
      </c>
      <c r="D1074" s="31" t="s">
        <v>11</v>
      </c>
      <c r="E1074" s="31" t="s">
        <v>45</v>
      </c>
      <c r="F1074" s="33">
        <v>6.208</v>
      </c>
      <c r="G1074" s="33">
        <v>2.0</v>
      </c>
      <c r="H1074" s="33">
        <v>2.1728</v>
      </c>
    </row>
    <row r="1075">
      <c r="A1075" s="31" t="s">
        <v>1245</v>
      </c>
      <c r="B1075" s="32">
        <v>42168.0</v>
      </c>
      <c r="C1075" s="31" t="s">
        <v>1246</v>
      </c>
      <c r="D1075" s="31" t="s">
        <v>11</v>
      </c>
      <c r="E1075" s="31" t="s">
        <v>28</v>
      </c>
      <c r="F1075" s="33">
        <v>36.624</v>
      </c>
      <c r="G1075" s="33">
        <v>3.0</v>
      </c>
      <c r="H1075" s="33">
        <v>13.734</v>
      </c>
    </row>
    <row r="1076">
      <c r="A1076" s="31" t="s">
        <v>1247</v>
      </c>
      <c r="B1076" s="32">
        <v>42188.0</v>
      </c>
      <c r="C1076" s="31" t="s">
        <v>1248</v>
      </c>
      <c r="D1076" s="31" t="s">
        <v>38</v>
      </c>
      <c r="E1076" s="31" t="s">
        <v>45</v>
      </c>
      <c r="F1076" s="33">
        <v>168.464</v>
      </c>
      <c r="G1076" s="33">
        <v>2.0</v>
      </c>
      <c r="H1076" s="33">
        <v>-29.4812</v>
      </c>
    </row>
    <row r="1077">
      <c r="A1077" s="31" t="s">
        <v>1249</v>
      </c>
      <c r="B1077" s="32">
        <v>42098.0</v>
      </c>
      <c r="C1077" s="31" t="s">
        <v>1250</v>
      </c>
      <c r="D1077" s="31" t="s">
        <v>47</v>
      </c>
      <c r="E1077" s="31" t="s">
        <v>45</v>
      </c>
      <c r="F1077" s="33">
        <v>11.16</v>
      </c>
      <c r="G1077" s="33">
        <v>2.0</v>
      </c>
      <c r="H1077" s="33">
        <v>4.3524</v>
      </c>
    </row>
    <row r="1078">
      <c r="A1078" s="31" t="s">
        <v>1251</v>
      </c>
      <c r="B1078" s="32">
        <v>42086.0</v>
      </c>
      <c r="C1078" s="31" t="s">
        <v>1252</v>
      </c>
      <c r="D1078" s="31" t="s">
        <v>11</v>
      </c>
      <c r="E1078" s="31" t="s">
        <v>31</v>
      </c>
      <c r="F1078" s="33">
        <v>107.772</v>
      </c>
      <c r="G1078" s="33">
        <v>2.0</v>
      </c>
      <c r="H1078" s="33">
        <v>-29.2524</v>
      </c>
    </row>
    <row r="1079">
      <c r="A1079" s="31" t="s">
        <v>1253</v>
      </c>
      <c r="B1079" s="32">
        <v>42110.0</v>
      </c>
      <c r="C1079" s="31" t="s">
        <v>1254</v>
      </c>
      <c r="D1079" s="31" t="s">
        <v>38</v>
      </c>
      <c r="E1079" s="31" t="s">
        <v>45</v>
      </c>
      <c r="F1079" s="33">
        <v>45.216</v>
      </c>
      <c r="G1079" s="33">
        <v>3.0</v>
      </c>
      <c r="H1079" s="33">
        <v>4.5216</v>
      </c>
    </row>
    <row r="1080">
      <c r="A1080" s="31" t="s">
        <v>1255</v>
      </c>
      <c r="B1080" s="32">
        <v>42210.0</v>
      </c>
      <c r="C1080" s="31" t="s">
        <v>1256</v>
      </c>
      <c r="D1080" s="31" t="s">
        <v>47</v>
      </c>
      <c r="E1080" s="31" t="s">
        <v>45</v>
      </c>
      <c r="F1080" s="33">
        <v>25.176</v>
      </c>
      <c r="G1080" s="33">
        <v>4.0</v>
      </c>
      <c r="H1080" s="33">
        <v>-18.4624</v>
      </c>
    </row>
    <row r="1081">
      <c r="A1081" s="31" t="s">
        <v>1257</v>
      </c>
      <c r="B1081" s="32">
        <v>42328.0</v>
      </c>
      <c r="C1081" s="31" t="s">
        <v>1258</v>
      </c>
      <c r="D1081" s="31" t="s">
        <v>47</v>
      </c>
      <c r="E1081" s="31" t="s">
        <v>28</v>
      </c>
      <c r="F1081" s="33">
        <v>19.46</v>
      </c>
      <c r="G1081" s="33">
        <v>7.0</v>
      </c>
      <c r="H1081" s="33">
        <v>5.0596</v>
      </c>
    </row>
    <row r="1082">
      <c r="A1082" s="31" t="s">
        <v>1259</v>
      </c>
      <c r="B1082" s="32">
        <v>42337.0</v>
      </c>
      <c r="C1082" s="31" t="s">
        <v>1260</v>
      </c>
      <c r="D1082" s="31" t="s">
        <v>38</v>
      </c>
      <c r="E1082" s="31" t="s">
        <v>31</v>
      </c>
      <c r="F1082" s="33">
        <v>19.92</v>
      </c>
      <c r="G1082" s="33">
        <v>4.0</v>
      </c>
      <c r="H1082" s="33">
        <v>9.3624</v>
      </c>
    </row>
    <row r="1083">
      <c r="A1083" s="31" t="s">
        <v>1261</v>
      </c>
      <c r="B1083" s="32">
        <v>42344.0</v>
      </c>
      <c r="C1083" s="31" t="s">
        <v>1262</v>
      </c>
      <c r="D1083" s="31" t="s">
        <v>11</v>
      </c>
      <c r="E1083" s="31" t="s">
        <v>28</v>
      </c>
      <c r="F1083" s="33">
        <v>120.15</v>
      </c>
      <c r="G1083" s="33">
        <v>9.0</v>
      </c>
      <c r="H1083" s="33">
        <v>33.642</v>
      </c>
    </row>
    <row r="1084">
      <c r="A1084" s="31" t="s">
        <v>1263</v>
      </c>
      <c r="B1084" s="32">
        <v>42365.0</v>
      </c>
      <c r="C1084" s="31" t="s">
        <v>1264</v>
      </c>
      <c r="D1084" s="31" t="s">
        <v>47</v>
      </c>
      <c r="E1084" s="31" t="s">
        <v>45</v>
      </c>
      <c r="F1084" s="33">
        <v>28.9</v>
      </c>
      <c r="G1084" s="33">
        <v>5.0</v>
      </c>
      <c r="H1084" s="33">
        <v>14.161</v>
      </c>
    </row>
    <row r="1085">
      <c r="A1085" s="31" t="s">
        <v>1265</v>
      </c>
      <c r="B1085" s="32">
        <v>42251.0</v>
      </c>
      <c r="C1085" s="31" t="s">
        <v>1266</v>
      </c>
      <c r="D1085" s="31" t="s">
        <v>11</v>
      </c>
      <c r="E1085" s="31" t="s">
        <v>59</v>
      </c>
      <c r="F1085" s="33">
        <v>279.9</v>
      </c>
      <c r="G1085" s="33">
        <v>5.0</v>
      </c>
      <c r="H1085" s="33">
        <v>137.151</v>
      </c>
    </row>
    <row r="1086">
      <c r="A1086" s="31" t="s">
        <v>1267</v>
      </c>
      <c r="B1086" s="32">
        <v>42065.0</v>
      </c>
      <c r="C1086" s="31" t="s">
        <v>1070</v>
      </c>
      <c r="D1086" s="31" t="s">
        <v>47</v>
      </c>
      <c r="E1086" s="31" t="s">
        <v>31</v>
      </c>
      <c r="F1086" s="33">
        <v>10.16</v>
      </c>
      <c r="G1086" s="33">
        <v>1.0</v>
      </c>
      <c r="H1086" s="33">
        <v>2.6416</v>
      </c>
    </row>
    <row r="1087">
      <c r="A1087" s="31" t="s">
        <v>1268</v>
      </c>
      <c r="B1087" s="32">
        <v>42098.0</v>
      </c>
      <c r="C1087" s="31" t="s">
        <v>1269</v>
      </c>
      <c r="D1087" s="31" t="s">
        <v>11</v>
      </c>
      <c r="E1087" s="31" t="s">
        <v>31</v>
      </c>
      <c r="F1087" s="33">
        <v>644.076</v>
      </c>
      <c r="G1087" s="33">
        <v>2.0</v>
      </c>
      <c r="H1087" s="33">
        <v>107.346</v>
      </c>
    </row>
    <row r="1088">
      <c r="A1088" s="31" t="s">
        <v>1270</v>
      </c>
      <c r="B1088" s="32">
        <v>42132.0</v>
      </c>
      <c r="C1088" s="31" t="s">
        <v>1271</v>
      </c>
      <c r="D1088" s="31" t="s">
        <v>38</v>
      </c>
      <c r="E1088" s="31" t="s">
        <v>45</v>
      </c>
      <c r="F1088" s="33">
        <v>8.352</v>
      </c>
      <c r="G1088" s="33">
        <v>6.0</v>
      </c>
      <c r="H1088" s="33">
        <v>1.2528</v>
      </c>
    </row>
    <row r="1089">
      <c r="A1089" s="31" t="s">
        <v>1272</v>
      </c>
      <c r="B1089" s="32">
        <v>42310.0</v>
      </c>
      <c r="C1089" s="31" t="s">
        <v>1273</v>
      </c>
      <c r="D1089" s="31" t="s">
        <v>11</v>
      </c>
      <c r="E1089" s="31" t="s">
        <v>28</v>
      </c>
      <c r="F1089" s="33">
        <v>447.93</v>
      </c>
      <c r="G1089" s="33">
        <v>9.0</v>
      </c>
      <c r="H1089" s="33">
        <v>49.2723</v>
      </c>
    </row>
    <row r="1090">
      <c r="A1090" s="31" t="s">
        <v>1274</v>
      </c>
      <c r="B1090" s="32">
        <v>42299.0</v>
      </c>
      <c r="C1090" s="31" t="s">
        <v>1184</v>
      </c>
      <c r="D1090" s="31" t="s">
        <v>11</v>
      </c>
      <c r="E1090" s="31" t="s">
        <v>31</v>
      </c>
      <c r="F1090" s="33">
        <v>5.176</v>
      </c>
      <c r="G1090" s="33">
        <v>4.0</v>
      </c>
      <c r="H1090" s="33">
        <v>-7.764</v>
      </c>
    </row>
    <row r="1091">
      <c r="A1091" s="31" t="s">
        <v>1275</v>
      </c>
      <c r="B1091" s="32">
        <v>42238.0</v>
      </c>
      <c r="C1091" s="31" t="s">
        <v>1276</v>
      </c>
      <c r="D1091" s="31" t="s">
        <v>38</v>
      </c>
      <c r="E1091" s="31" t="s">
        <v>45</v>
      </c>
      <c r="F1091" s="33">
        <v>50.112</v>
      </c>
      <c r="G1091" s="33">
        <v>6.0</v>
      </c>
      <c r="H1091" s="33">
        <v>16.2864</v>
      </c>
    </row>
    <row r="1092">
      <c r="A1092" s="31" t="s">
        <v>1277</v>
      </c>
      <c r="B1092" s="32">
        <v>42262.0</v>
      </c>
      <c r="C1092" s="31" t="s">
        <v>1278</v>
      </c>
      <c r="D1092" s="31" t="s">
        <v>38</v>
      </c>
      <c r="E1092" s="31" t="s">
        <v>59</v>
      </c>
      <c r="F1092" s="33">
        <v>15.552</v>
      </c>
      <c r="G1092" s="33">
        <v>3.0</v>
      </c>
      <c r="H1092" s="33">
        <v>5.4432</v>
      </c>
    </row>
    <row r="1093">
      <c r="A1093" s="31" t="s">
        <v>1279</v>
      </c>
      <c r="B1093" s="32">
        <v>42308.0</v>
      </c>
      <c r="C1093" s="31" t="s">
        <v>1280</v>
      </c>
      <c r="D1093" s="31" t="s">
        <v>11</v>
      </c>
      <c r="E1093" s="31" t="s">
        <v>45</v>
      </c>
      <c r="F1093" s="33">
        <v>2.78</v>
      </c>
      <c r="G1093" s="33">
        <v>2.0</v>
      </c>
      <c r="H1093" s="33">
        <v>0.7228</v>
      </c>
    </row>
    <row r="1094">
      <c r="A1094" s="31" t="s">
        <v>1281</v>
      </c>
      <c r="B1094" s="32">
        <v>42189.0</v>
      </c>
      <c r="C1094" s="31" t="s">
        <v>1282</v>
      </c>
      <c r="D1094" s="31" t="s">
        <v>11</v>
      </c>
      <c r="E1094" s="31" t="s">
        <v>31</v>
      </c>
      <c r="F1094" s="33">
        <v>1099.96</v>
      </c>
      <c r="G1094" s="33">
        <v>4.0</v>
      </c>
      <c r="H1094" s="33">
        <v>285.9896</v>
      </c>
    </row>
    <row r="1095">
      <c r="A1095" s="31" t="s">
        <v>1283</v>
      </c>
      <c r="B1095" s="32">
        <v>42344.0</v>
      </c>
      <c r="C1095" s="31" t="s">
        <v>1284</v>
      </c>
      <c r="D1095" s="31" t="s">
        <v>11</v>
      </c>
      <c r="E1095" s="31" t="s">
        <v>31</v>
      </c>
      <c r="F1095" s="33">
        <v>2.772</v>
      </c>
      <c r="G1095" s="33">
        <v>7.0</v>
      </c>
      <c r="H1095" s="33">
        <v>-4.851</v>
      </c>
    </row>
    <row r="1096">
      <c r="A1096" s="31" t="s">
        <v>1285</v>
      </c>
      <c r="B1096" s="32">
        <v>42189.0</v>
      </c>
      <c r="C1096" s="31" t="s">
        <v>1286</v>
      </c>
      <c r="D1096" s="31" t="s">
        <v>47</v>
      </c>
      <c r="E1096" s="31" t="s">
        <v>45</v>
      </c>
      <c r="F1096" s="33">
        <v>15.48</v>
      </c>
      <c r="G1096" s="33">
        <v>3.0</v>
      </c>
      <c r="H1096" s="33">
        <v>4.4892</v>
      </c>
    </row>
    <row r="1097">
      <c r="A1097" s="31" t="s">
        <v>1287</v>
      </c>
      <c r="B1097" s="32">
        <v>42243.0</v>
      </c>
      <c r="C1097" s="31" t="s">
        <v>1288</v>
      </c>
      <c r="D1097" s="31" t="s">
        <v>11</v>
      </c>
      <c r="E1097" s="31" t="s">
        <v>28</v>
      </c>
      <c r="F1097" s="33">
        <v>32.94</v>
      </c>
      <c r="G1097" s="33">
        <v>3.0</v>
      </c>
      <c r="H1097" s="33">
        <v>9.2232</v>
      </c>
    </row>
    <row r="1098">
      <c r="A1098" s="31" t="s">
        <v>1289</v>
      </c>
      <c r="B1098" s="32">
        <v>42149.0</v>
      </c>
      <c r="C1098" s="31" t="s">
        <v>1290</v>
      </c>
      <c r="D1098" s="31" t="s">
        <v>11</v>
      </c>
      <c r="E1098" s="31" t="s">
        <v>28</v>
      </c>
      <c r="F1098" s="33">
        <v>845.728</v>
      </c>
      <c r="G1098" s="33">
        <v>13.0</v>
      </c>
      <c r="H1098" s="33">
        <v>84.5728</v>
      </c>
    </row>
    <row r="1099">
      <c r="A1099" s="31" t="s">
        <v>1291</v>
      </c>
      <c r="B1099" s="32">
        <v>42281.0</v>
      </c>
      <c r="C1099" s="31" t="s">
        <v>1292</v>
      </c>
      <c r="D1099" s="31" t="s">
        <v>11</v>
      </c>
      <c r="E1099" s="31" t="s">
        <v>28</v>
      </c>
      <c r="F1099" s="33">
        <v>26.96</v>
      </c>
      <c r="G1099" s="33">
        <v>2.0</v>
      </c>
      <c r="H1099" s="33">
        <v>7.0096</v>
      </c>
    </row>
    <row r="1100">
      <c r="A1100" s="31" t="s">
        <v>1293</v>
      </c>
      <c r="B1100" s="32">
        <v>42266.0</v>
      </c>
      <c r="C1100" s="31" t="s">
        <v>1294</v>
      </c>
      <c r="D1100" s="31" t="s">
        <v>47</v>
      </c>
      <c r="E1100" s="31" t="s">
        <v>59</v>
      </c>
      <c r="F1100" s="33">
        <v>61.96</v>
      </c>
      <c r="G1100" s="33">
        <v>2.0</v>
      </c>
      <c r="H1100" s="33">
        <v>4.3372</v>
      </c>
    </row>
    <row r="1101">
      <c r="A1101" s="31" t="s">
        <v>1295</v>
      </c>
      <c r="B1101" s="32">
        <v>42169.0</v>
      </c>
      <c r="C1101" s="31" t="s">
        <v>1286</v>
      </c>
      <c r="D1101" s="31" t="s">
        <v>47</v>
      </c>
      <c r="E1101" s="31" t="s">
        <v>45</v>
      </c>
      <c r="F1101" s="33">
        <v>51.072</v>
      </c>
      <c r="G1101" s="33">
        <v>6.0</v>
      </c>
      <c r="H1101" s="33">
        <v>5.1072</v>
      </c>
    </row>
    <row r="1102">
      <c r="A1102" s="31" t="s">
        <v>1296</v>
      </c>
      <c r="B1102" s="32">
        <v>42152.0</v>
      </c>
      <c r="C1102" s="31" t="s">
        <v>1066</v>
      </c>
      <c r="D1102" s="31" t="s">
        <v>11</v>
      </c>
      <c r="E1102" s="31" t="s">
        <v>45</v>
      </c>
      <c r="F1102" s="33">
        <v>47.82</v>
      </c>
      <c r="G1102" s="33">
        <v>3.0</v>
      </c>
      <c r="H1102" s="33">
        <v>14.346</v>
      </c>
    </row>
    <row r="1103">
      <c r="A1103" s="31" t="s">
        <v>1297</v>
      </c>
      <c r="B1103" s="32">
        <v>42362.0</v>
      </c>
      <c r="C1103" s="31" t="s">
        <v>1298</v>
      </c>
      <c r="D1103" s="31" t="s">
        <v>11</v>
      </c>
      <c r="E1103" s="31" t="s">
        <v>28</v>
      </c>
      <c r="F1103" s="33">
        <v>590.058</v>
      </c>
      <c r="G1103" s="33">
        <v>7.0</v>
      </c>
      <c r="H1103" s="33">
        <v>-786.744</v>
      </c>
    </row>
    <row r="1104">
      <c r="A1104" s="31" t="s">
        <v>1299</v>
      </c>
      <c r="B1104" s="32">
        <v>42261.0</v>
      </c>
      <c r="C1104" s="31" t="s">
        <v>1300</v>
      </c>
      <c r="D1104" s="31" t="s">
        <v>11</v>
      </c>
      <c r="E1104" s="31" t="s">
        <v>28</v>
      </c>
      <c r="F1104" s="33">
        <v>912.75</v>
      </c>
      <c r="G1104" s="33">
        <v>5.0</v>
      </c>
      <c r="H1104" s="33">
        <v>118.6575</v>
      </c>
    </row>
    <row r="1105">
      <c r="A1105" s="31" t="s">
        <v>1301</v>
      </c>
      <c r="B1105" s="32">
        <v>42268.0</v>
      </c>
      <c r="C1105" s="31" t="s">
        <v>1302</v>
      </c>
      <c r="D1105" s="31" t="s">
        <v>38</v>
      </c>
      <c r="E1105" s="31" t="s">
        <v>31</v>
      </c>
      <c r="F1105" s="33">
        <v>946.344</v>
      </c>
      <c r="G1105" s="33">
        <v>7.0</v>
      </c>
      <c r="H1105" s="33">
        <v>118.293</v>
      </c>
    </row>
    <row r="1106">
      <c r="A1106" s="31" t="s">
        <v>1303</v>
      </c>
      <c r="B1106" s="32">
        <v>42273.0</v>
      </c>
      <c r="C1106" s="31" t="s">
        <v>1304</v>
      </c>
      <c r="D1106" s="31" t="s">
        <v>38</v>
      </c>
      <c r="E1106" s="31" t="s">
        <v>28</v>
      </c>
      <c r="F1106" s="33">
        <v>86.272</v>
      </c>
      <c r="G1106" s="33">
        <v>4.0</v>
      </c>
      <c r="H1106" s="33">
        <v>31.2736</v>
      </c>
    </row>
    <row r="1107">
      <c r="A1107" s="31" t="s">
        <v>1305</v>
      </c>
      <c r="B1107" s="32">
        <v>42308.0</v>
      </c>
      <c r="C1107" s="31" t="s">
        <v>1306</v>
      </c>
      <c r="D1107" s="31" t="s">
        <v>38</v>
      </c>
      <c r="E1107" s="31" t="s">
        <v>28</v>
      </c>
      <c r="F1107" s="33">
        <v>9.728</v>
      </c>
      <c r="G1107" s="33">
        <v>2.0</v>
      </c>
      <c r="H1107" s="33">
        <v>3.2832</v>
      </c>
    </row>
    <row r="1108">
      <c r="A1108" s="31" t="s">
        <v>1307</v>
      </c>
      <c r="B1108" s="32">
        <v>42292.0</v>
      </c>
      <c r="C1108" s="31" t="s">
        <v>1062</v>
      </c>
      <c r="D1108" s="31" t="s">
        <v>11</v>
      </c>
      <c r="E1108" s="31" t="s">
        <v>31</v>
      </c>
      <c r="F1108" s="33">
        <v>263.88</v>
      </c>
      <c r="G1108" s="33">
        <v>3.0</v>
      </c>
      <c r="H1108" s="33">
        <v>42.8805</v>
      </c>
    </row>
    <row r="1109">
      <c r="A1109" s="31" t="s">
        <v>1308</v>
      </c>
      <c r="B1109" s="32">
        <v>42278.0</v>
      </c>
      <c r="C1109" s="31" t="s">
        <v>1309</v>
      </c>
      <c r="D1109" s="31" t="s">
        <v>38</v>
      </c>
      <c r="E1109" s="31" t="s">
        <v>28</v>
      </c>
      <c r="F1109" s="33">
        <v>139.424</v>
      </c>
      <c r="G1109" s="33">
        <v>4.0</v>
      </c>
      <c r="H1109" s="33">
        <v>17.428</v>
      </c>
    </row>
    <row r="1110">
      <c r="A1110" s="31" t="s">
        <v>1310</v>
      </c>
      <c r="B1110" s="32">
        <v>42125.0</v>
      </c>
      <c r="C1110" s="31" t="s">
        <v>1311</v>
      </c>
      <c r="D1110" s="31" t="s">
        <v>38</v>
      </c>
      <c r="E1110" s="31" t="s">
        <v>28</v>
      </c>
      <c r="F1110" s="33">
        <v>88.752</v>
      </c>
      <c r="G1110" s="33">
        <v>3.0</v>
      </c>
      <c r="H1110" s="33">
        <v>11.094</v>
      </c>
    </row>
    <row r="1111">
      <c r="A1111" s="31" t="s">
        <v>1312</v>
      </c>
      <c r="B1111" s="32">
        <v>42204.0</v>
      </c>
      <c r="C1111" s="31" t="s">
        <v>1313</v>
      </c>
      <c r="D1111" s="31" t="s">
        <v>11</v>
      </c>
      <c r="E1111" s="31" t="s">
        <v>28</v>
      </c>
      <c r="F1111" s="33">
        <v>2.025</v>
      </c>
      <c r="G1111" s="33">
        <v>1.0</v>
      </c>
      <c r="H1111" s="33">
        <v>-1.35</v>
      </c>
    </row>
    <row r="1112">
      <c r="A1112" s="31" t="s">
        <v>1314</v>
      </c>
      <c r="B1112" s="32">
        <v>42233.0</v>
      </c>
      <c r="C1112" s="31" t="s">
        <v>1309</v>
      </c>
      <c r="D1112" s="31" t="s">
        <v>38</v>
      </c>
      <c r="E1112" s="31" t="s">
        <v>45</v>
      </c>
      <c r="F1112" s="33">
        <v>52.2</v>
      </c>
      <c r="G1112" s="33">
        <v>9.0</v>
      </c>
      <c r="H1112" s="33">
        <v>23.49</v>
      </c>
    </row>
    <row r="1113">
      <c r="A1113" s="31" t="s">
        <v>1315</v>
      </c>
      <c r="B1113" s="32">
        <v>42339.0</v>
      </c>
      <c r="C1113" s="31" t="s">
        <v>1316</v>
      </c>
      <c r="D1113" s="31" t="s">
        <v>11</v>
      </c>
      <c r="E1113" s="31" t="s">
        <v>28</v>
      </c>
      <c r="F1113" s="33">
        <v>55.424</v>
      </c>
      <c r="G1113" s="33">
        <v>2.0</v>
      </c>
      <c r="H1113" s="33">
        <v>19.3984</v>
      </c>
    </row>
    <row r="1114">
      <c r="A1114" s="31" t="s">
        <v>1317</v>
      </c>
      <c r="B1114" s="32">
        <v>42140.0</v>
      </c>
      <c r="C1114" s="31" t="s">
        <v>1318</v>
      </c>
      <c r="D1114" s="31" t="s">
        <v>47</v>
      </c>
      <c r="E1114" s="31" t="s">
        <v>59</v>
      </c>
      <c r="F1114" s="33">
        <v>255.968</v>
      </c>
      <c r="G1114" s="33">
        <v>4.0</v>
      </c>
      <c r="H1114" s="33">
        <v>31.996</v>
      </c>
    </row>
    <row r="1115">
      <c r="A1115" s="31" t="s">
        <v>1319</v>
      </c>
      <c r="B1115" s="32">
        <v>42271.0</v>
      </c>
      <c r="C1115" s="31" t="s">
        <v>1320</v>
      </c>
      <c r="D1115" s="31" t="s">
        <v>38</v>
      </c>
      <c r="E1115" s="31" t="s">
        <v>45</v>
      </c>
      <c r="F1115" s="33">
        <v>6.848</v>
      </c>
      <c r="G1115" s="33">
        <v>2.0</v>
      </c>
      <c r="H1115" s="33">
        <v>0.5992</v>
      </c>
    </row>
    <row r="1116">
      <c r="A1116" s="31" t="s">
        <v>1321</v>
      </c>
      <c r="B1116" s="32">
        <v>42339.0</v>
      </c>
      <c r="C1116" s="31" t="s">
        <v>1322</v>
      </c>
      <c r="D1116" s="31" t="s">
        <v>11</v>
      </c>
      <c r="E1116" s="31" t="s">
        <v>31</v>
      </c>
      <c r="F1116" s="33">
        <v>6.688</v>
      </c>
      <c r="G1116" s="33">
        <v>4.0</v>
      </c>
      <c r="H1116" s="33">
        <v>-4.0128</v>
      </c>
    </row>
    <row r="1117">
      <c r="A1117" s="31" t="s">
        <v>1323</v>
      </c>
      <c r="B1117" s="32">
        <v>42311.0</v>
      </c>
      <c r="C1117" s="31" t="s">
        <v>1324</v>
      </c>
      <c r="D1117" s="31" t="s">
        <v>47</v>
      </c>
      <c r="E1117" s="31" t="s">
        <v>28</v>
      </c>
      <c r="F1117" s="33">
        <v>1212.848</v>
      </c>
      <c r="G1117" s="33">
        <v>7.0</v>
      </c>
      <c r="H1117" s="33">
        <v>106.1242</v>
      </c>
    </row>
    <row r="1118">
      <c r="A1118" s="31" t="s">
        <v>1325</v>
      </c>
      <c r="B1118" s="32">
        <v>42217.0</v>
      </c>
      <c r="C1118" s="31" t="s">
        <v>1326</v>
      </c>
      <c r="D1118" s="31" t="s">
        <v>47</v>
      </c>
      <c r="E1118" s="31" t="s">
        <v>28</v>
      </c>
      <c r="F1118" s="33">
        <v>6.72</v>
      </c>
      <c r="G1118" s="33">
        <v>4.0</v>
      </c>
      <c r="H1118" s="33">
        <v>3.36</v>
      </c>
    </row>
    <row r="1119">
      <c r="A1119" s="31" t="s">
        <v>1327</v>
      </c>
      <c r="B1119" s="32">
        <v>42344.0</v>
      </c>
      <c r="C1119" s="31" t="s">
        <v>1328</v>
      </c>
      <c r="D1119" s="31" t="s">
        <v>11</v>
      </c>
      <c r="E1119" s="31" t="s">
        <v>28</v>
      </c>
      <c r="F1119" s="33">
        <v>206.112</v>
      </c>
      <c r="G1119" s="33">
        <v>6.0</v>
      </c>
      <c r="H1119" s="33">
        <v>48.9516</v>
      </c>
    </row>
    <row r="1120">
      <c r="A1120" s="31" t="s">
        <v>1329</v>
      </c>
      <c r="B1120" s="32">
        <v>42315.0</v>
      </c>
      <c r="C1120" s="31" t="s">
        <v>1330</v>
      </c>
      <c r="D1120" s="31" t="s">
        <v>38</v>
      </c>
      <c r="E1120" s="31" t="s">
        <v>45</v>
      </c>
      <c r="F1120" s="33">
        <v>26.18</v>
      </c>
      <c r="G1120" s="33">
        <v>7.0</v>
      </c>
      <c r="H1120" s="33">
        <v>0.5236</v>
      </c>
    </row>
    <row r="1121">
      <c r="A1121" s="31" t="s">
        <v>1331</v>
      </c>
      <c r="B1121" s="32">
        <v>42089.0</v>
      </c>
      <c r="C1121" s="31" t="s">
        <v>1332</v>
      </c>
      <c r="D1121" s="31" t="s">
        <v>38</v>
      </c>
      <c r="E1121" s="31" t="s">
        <v>59</v>
      </c>
      <c r="F1121" s="33">
        <v>74.352</v>
      </c>
      <c r="G1121" s="33">
        <v>3.0</v>
      </c>
      <c r="H1121" s="33">
        <v>23.235</v>
      </c>
    </row>
    <row r="1122">
      <c r="A1122" s="31" t="s">
        <v>1333</v>
      </c>
      <c r="B1122" s="32">
        <v>42331.0</v>
      </c>
      <c r="C1122" s="31" t="s">
        <v>1334</v>
      </c>
      <c r="D1122" s="31" t="s">
        <v>38</v>
      </c>
      <c r="E1122" s="31" t="s">
        <v>31</v>
      </c>
      <c r="F1122" s="33">
        <v>335.52</v>
      </c>
      <c r="G1122" s="33">
        <v>4.0</v>
      </c>
      <c r="H1122" s="33">
        <v>117.432</v>
      </c>
    </row>
    <row r="1123">
      <c r="A1123" s="31" t="s">
        <v>1335</v>
      </c>
      <c r="B1123" s="32">
        <v>42041.0</v>
      </c>
      <c r="C1123" s="31" t="s">
        <v>1093</v>
      </c>
      <c r="D1123" s="31" t="s">
        <v>38</v>
      </c>
      <c r="E1123" s="31" t="s">
        <v>28</v>
      </c>
      <c r="F1123" s="33">
        <v>5.28</v>
      </c>
      <c r="G1123" s="33">
        <v>3.0</v>
      </c>
      <c r="H1123" s="33">
        <v>1.5312</v>
      </c>
    </row>
    <row r="1124">
      <c r="A1124" s="31" t="s">
        <v>1336</v>
      </c>
      <c r="B1124" s="32">
        <v>42079.0</v>
      </c>
      <c r="C1124" s="31" t="s">
        <v>1337</v>
      </c>
      <c r="D1124" s="31" t="s">
        <v>11</v>
      </c>
      <c r="E1124" s="31" t="s">
        <v>28</v>
      </c>
      <c r="F1124" s="33">
        <v>171.96</v>
      </c>
      <c r="G1124" s="33">
        <v>2.0</v>
      </c>
      <c r="H1124" s="33">
        <v>44.7096</v>
      </c>
    </row>
    <row r="1125">
      <c r="A1125" s="31" t="s">
        <v>1338</v>
      </c>
      <c r="B1125" s="32">
        <v>42317.0</v>
      </c>
      <c r="C1125" s="31" t="s">
        <v>1339</v>
      </c>
      <c r="D1125" s="31" t="s">
        <v>11</v>
      </c>
      <c r="E1125" s="31" t="s">
        <v>45</v>
      </c>
      <c r="F1125" s="33">
        <v>11.352</v>
      </c>
      <c r="G1125" s="33">
        <v>3.0</v>
      </c>
      <c r="H1125" s="33">
        <v>4.1151</v>
      </c>
    </row>
    <row r="1126">
      <c r="A1126" s="31" t="s">
        <v>1340</v>
      </c>
      <c r="B1126" s="32">
        <v>42082.0</v>
      </c>
      <c r="C1126" s="31" t="s">
        <v>1168</v>
      </c>
      <c r="D1126" s="31" t="s">
        <v>47</v>
      </c>
      <c r="E1126" s="31" t="s">
        <v>28</v>
      </c>
      <c r="F1126" s="33">
        <v>453.576</v>
      </c>
      <c r="G1126" s="33">
        <v>3.0</v>
      </c>
      <c r="H1126" s="33">
        <v>39.6879</v>
      </c>
    </row>
    <row r="1127">
      <c r="A1127" s="31" t="s">
        <v>1341</v>
      </c>
      <c r="B1127" s="32">
        <v>42337.0</v>
      </c>
      <c r="C1127" s="31" t="s">
        <v>1342</v>
      </c>
      <c r="D1127" s="31" t="s">
        <v>11</v>
      </c>
      <c r="E1127" s="31" t="s">
        <v>31</v>
      </c>
      <c r="F1127" s="33">
        <v>21.48</v>
      </c>
      <c r="G1127" s="33">
        <v>3.0</v>
      </c>
      <c r="H1127" s="33">
        <v>-0.2685</v>
      </c>
    </row>
    <row r="1128">
      <c r="A1128" s="31" t="s">
        <v>1343</v>
      </c>
      <c r="B1128" s="32">
        <v>42225.0</v>
      </c>
      <c r="C1128" s="31" t="s">
        <v>1262</v>
      </c>
      <c r="D1128" s="31" t="s">
        <v>11</v>
      </c>
      <c r="E1128" s="31" t="s">
        <v>45</v>
      </c>
      <c r="F1128" s="33">
        <v>307.98</v>
      </c>
      <c r="G1128" s="33">
        <v>2.0</v>
      </c>
      <c r="H1128" s="33">
        <v>89.3142</v>
      </c>
    </row>
    <row r="1129">
      <c r="A1129" s="31" t="s">
        <v>1344</v>
      </c>
      <c r="B1129" s="32">
        <v>42178.0</v>
      </c>
      <c r="C1129" s="31" t="s">
        <v>1345</v>
      </c>
      <c r="D1129" s="31" t="s">
        <v>11</v>
      </c>
      <c r="E1129" s="31" t="s">
        <v>28</v>
      </c>
      <c r="F1129" s="33">
        <v>201.568</v>
      </c>
      <c r="G1129" s="33">
        <v>4.0</v>
      </c>
      <c r="H1129" s="33">
        <v>22.6764</v>
      </c>
    </row>
    <row r="1130">
      <c r="A1130" s="31" t="s">
        <v>1346</v>
      </c>
      <c r="B1130" s="32">
        <v>42087.0</v>
      </c>
      <c r="C1130" s="31" t="s">
        <v>1347</v>
      </c>
      <c r="D1130" s="31" t="s">
        <v>47</v>
      </c>
      <c r="E1130" s="31" t="s">
        <v>31</v>
      </c>
      <c r="F1130" s="33">
        <v>359.058</v>
      </c>
      <c r="G1130" s="33">
        <v>3.0</v>
      </c>
      <c r="H1130" s="33">
        <v>-35.9058</v>
      </c>
    </row>
    <row r="1131">
      <c r="A1131" s="31" t="s">
        <v>1348</v>
      </c>
      <c r="B1131" s="32">
        <v>42226.0</v>
      </c>
      <c r="C1131" s="31" t="s">
        <v>1349</v>
      </c>
      <c r="D1131" s="31" t="s">
        <v>47</v>
      </c>
      <c r="E1131" s="31" t="s">
        <v>31</v>
      </c>
      <c r="F1131" s="33">
        <v>3.75</v>
      </c>
      <c r="G1131" s="33">
        <v>1.0</v>
      </c>
      <c r="H1131" s="33">
        <v>1.8</v>
      </c>
    </row>
    <row r="1132">
      <c r="A1132" s="31" t="s">
        <v>1350</v>
      </c>
      <c r="B1132" s="32">
        <v>42357.0</v>
      </c>
      <c r="C1132" s="31" t="s">
        <v>1351</v>
      </c>
      <c r="D1132" s="31" t="s">
        <v>11</v>
      </c>
      <c r="E1132" s="31" t="s">
        <v>28</v>
      </c>
      <c r="F1132" s="33">
        <v>675.96</v>
      </c>
      <c r="G1132" s="33">
        <v>5.0</v>
      </c>
      <c r="H1132" s="33">
        <v>84.495</v>
      </c>
    </row>
    <row r="1133">
      <c r="A1133" s="31" t="s">
        <v>1352</v>
      </c>
      <c r="B1133" s="32">
        <v>42324.0</v>
      </c>
      <c r="C1133" s="31" t="s">
        <v>1353</v>
      </c>
      <c r="D1133" s="31" t="s">
        <v>47</v>
      </c>
      <c r="E1133" s="31" t="s">
        <v>45</v>
      </c>
      <c r="F1133" s="33">
        <v>523.25</v>
      </c>
      <c r="G1133" s="33">
        <v>5.0</v>
      </c>
      <c r="H1133" s="33">
        <v>141.2775</v>
      </c>
    </row>
    <row r="1134">
      <c r="A1134" s="31" t="s">
        <v>1354</v>
      </c>
      <c r="B1134" s="32">
        <v>42271.0</v>
      </c>
      <c r="C1134" s="31" t="s">
        <v>1355</v>
      </c>
      <c r="D1134" s="31" t="s">
        <v>11</v>
      </c>
      <c r="E1134" s="31" t="s">
        <v>59</v>
      </c>
      <c r="F1134" s="33">
        <v>517.5</v>
      </c>
      <c r="G1134" s="33">
        <v>6.0</v>
      </c>
      <c r="H1134" s="33">
        <v>155.25</v>
      </c>
    </row>
    <row r="1135">
      <c r="A1135" s="31" t="s">
        <v>1356</v>
      </c>
      <c r="B1135" s="32">
        <v>42082.0</v>
      </c>
      <c r="C1135" s="31" t="s">
        <v>1357</v>
      </c>
      <c r="D1135" s="31" t="s">
        <v>38</v>
      </c>
      <c r="E1135" s="31" t="s">
        <v>28</v>
      </c>
      <c r="F1135" s="33">
        <v>1247.64</v>
      </c>
      <c r="G1135" s="33">
        <v>3.0</v>
      </c>
      <c r="H1135" s="33">
        <v>349.3392</v>
      </c>
    </row>
    <row r="1136">
      <c r="A1136" s="31" t="s">
        <v>1358</v>
      </c>
      <c r="B1136" s="32">
        <v>42309.0</v>
      </c>
      <c r="C1136" s="31" t="s">
        <v>1359</v>
      </c>
      <c r="D1136" s="31" t="s">
        <v>47</v>
      </c>
      <c r="E1136" s="31" t="s">
        <v>45</v>
      </c>
      <c r="F1136" s="33">
        <v>35.36</v>
      </c>
      <c r="G1136" s="33">
        <v>2.0</v>
      </c>
      <c r="H1136" s="33">
        <v>-3.094</v>
      </c>
    </row>
    <row r="1137">
      <c r="A1137" s="31" t="s">
        <v>1360</v>
      </c>
      <c r="B1137" s="32">
        <v>42273.0</v>
      </c>
      <c r="C1137" s="31" t="s">
        <v>1361</v>
      </c>
      <c r="D1137" s="31" t="s">
        <v>11</v>
      </c>
      <c r="E1137" s="31" t="s">
        <v>45</v>
      </c>
      <c r="F1137" s="33">
        <v>121.104</v>
      </c>
      <c r="G1137" s="33">
        <v>6.0</v>
      </c>
      <c r="H1137" s="33">
        <v>-100.92</v>
      </c>
    </row>
    <row r="1138">
      <c r="A1138" s="31" t="s">
        <v>1362</v>
      </c>
      <c r="B1138" s="32">
        <v>42014.0</v>
      </c>
      <c r="C1138" s="31" t="s">
        <v>1363</v>
      </c>
      <c r="D1138" s="31" t="s">
        <v>11</v>
      </c>
      <c r="E1138" s="31" t="s">
        <v>45</v>
      </c>
      <c r="F1138" s="33">
        <v>1018.104</v>
      </c>
      <c r="G1138" s="33">
        <v>4.0</v>
      </c>
      <c r="H1138" s="33">
        <v>-373.3048</v>
      </c>
    </row>
    <row r="1139">
      <c r="A1139" s="31" t="s">
        <v>1364</v>
      </c>
      <c r="B1139" s="32">
        <v>42349.0</v>
      </c>
      <c r="C1139" s="31" t="s">
        <v>1365</v>
      </c>
      <c r="D1139" s="31" t="s">
        <v>11</v>
      </c>
      <c r="E1139" s="31" t="s">
        <v>59</v>
      </c>
      <c r="F1139" s="33">
        <v>196.62</v>
      </c>
      <c r="G1139" s="33">
        <v>2.0</v>
      </c>
      <c r="H1139" s="33">
        <v>96.3438</v>
      </c>
    </row>
    <row r="1140">
      <c r="A1140" s="31" t="s">
        <v>1366</v>
      </c>
      <c r="B1140" s="32">
        <v>42264.0</v>
      </c>
      <c r="C1140" s="31" t="s">
        <v>1160</v>
      </c>
      <c r="D1140" s="31" t="s">
        <v>38</v>
      </c>
      <c r="E1140" s="31" t="s">
        <v>31</v>
      </c>
      <c r="F1140" s="33">
        <v>21.936</v>
      </c>
      <c r="G1140" s="33">
        <v>2.0</v>
      </c>
      <c r="H1140" s="33">
        <v>-10.4196</v>
      </c>
    </row>
    <row r="1141">
      <c r="A1141" s="31" t="s">
        <v>1367</v>
      </c>
      <c r="B1141" s="32">
        <v>42272.0</v>
      </c>
      <c r="C1141" s="31" t="s">
        <v>1368</v>
      </c>
      <c r="D1141" s="31" t="s">
        <v>47</v>
      </c>
      <c r="E1141" s="31" t="s">
        <v>45</v>
      </c>
      <c r="F1141" s="33">
        <v>63.96</v>
      </c>
      <c r="G1141" s="33">
        <v>4.0</v>
      </c>
      <c r="H1141" s="33">
        <v>19.8276</v>
      </c>
    </row>
    <row r="1142">
      <c r="A1142" s="31" t="s">
        <v>1369</v>
      </c>
      <c r="B1142" s="32">
        <v>42365.0</v>
      </c>
      <c r="C1142" s="31" t="s">
        <v>1370</v>
      </c>
      <c r="D1142" s="31" t="s">
        <v>11</v>
      </c>
      <c r="E1142" s="31" t="s">
        <v>28</v>
      </c>
      <c r="F1142" s="33">
        <v>106.96</v>
      </c>
      <c r="G1142" s="33">
        <v>2.0</v>
      </c>
      <c r="H1142" s="33">
        <v>31.0184</v>
      </c>
    </row>
    <row r="1143">
      <c r="A1143" s="31" t="s">
        <v>1371</v>
      </c>
      <c r="B1143" s="32">
        <v>42198.0</v>
      </c>
      <c r="C1143" s="31" t="s">
        <v>1372</v>
      </c>
      <c r="D1143" s="31" t="s">
        <v>11</v>
      </c>
      <c r="E1143" s="31" t="s">
        <v>45</v>
      </c>
      <c r="F1143" s="33">
        <v>11.808</v>
      </c>
      <c r="G1143" s="33">
        <v>2.0</v>
      </c>
      <c r="H1143" s="33">
        <v>4.2804</v>
      </c>
    </row>
    <row r="1144">
      <c r="A1144" s="31" t="s">
        <v>1373</v>
      </c>
      <c r="B1144" s="32">
        <v>42330.0</v>
      </c>
      <c r="C1144" s="31" t="s">
        <v>1282</v>
      </c>
      <c r="D1144" s="31" t="s">
        <v>11</v>
      </c>
      <c r="E1144" s="31" t="s">
        <v>45</v>
      </c>
      <c r="F1144" s="33">
        <v>11.61</v>
      </c>
      <c r="G1144" s="33">
        <v>2.0</v>
      </c>
      <c r="H1144" s="33">
        <v>-9.288</v>
      </c>
    </row>
    <row r="1145">
      <c r="A1145" s="31" t="s">
        <v>1374</v>
      </c>
      <c r="B1145" s="32">
        <v>42034.0</v>
      </c>
      <c r="C1145" s="31" t="s">
        <v>1375</v>
      </c>
      <c r="D1145" s="31" t="s">
        <v>11</v>
      </c>
      <c r="E1145" s="31" t="s">
        <v>31</v>
      </c>
      <c r="F1145" s="33">
        <v>14.304</v>
      </c>
      <c r="G1145" s="33">
        <v>6.0</v>
      </c>
      <c r="H1145" s="33">
        <v>5.0064</v>
      </c>
    </row>
    <row r="1146">
      <c r="A1146" s="31" t="s">
        <v>1376</v>
      </c>
      <c r="B1146" s="32">
        <v>42358.0</v>
      </c>
      <c r="C1146" s="31" t="s">
        <v>1377</v>
      </c>
      <c r="D1146" s="31" t="s">
        <v>11</v>
      </c>
      <c r="E1146" s="31" t="s">
        <v>31</v>
      </c>
      <c r="F1146" s="33">
        <v>159.984</v>
      </c>
      <c r="G1146" s="33">
        <v>2.0</v>
      </c>
      <c r="H1146" s="33">
        <v>11.9988</v>
      </c>
    </row>
    <row r="1147">
      <c r="A1147" s="31" t="s">
        <v>1378</v>
      </c>
      <c r="B1147" s="32">
        <v>42357.0</v>
      </c>
      <c r="C1147" s="31" t="s">
        <v>1170</v>
      </c>
      <c r="D1147" s="31" t="s">
        <v>11</v>
      </c>
      <c r="E1147" s="31" t="s">
        <v>45</v>
      </c>
      <c r="F1147" s="33">
        <v>434.352</v>
      </c>
      <c r="G1147" s="33">
        <v>3.0</v>
      </c>
      <c r="H1147" s="33">
        <v>43.4352</v>
      </c>
    </row>
    <row r="1148">
      <c r="A1148" s="31" t="s">
        <v>1379</v>
      </c>
      <c r="B1148" s="32">
        <v>42250.0</v>
      </c>
      <c r="C1148" s="31" t="s">
        <v>1188</v>
      </c>
      <c r="D1148" s="31" t="s">
        <v>38</v>
      </c>
      <c r="E1148" s="31" t="s">
        <v>28</v>
      </c>
      <c r="F1148" s="33">
        <v>31.44</v>
      </c>
      <c r="G1148" s="33">
        <v>3.0</v>
      </c>
      <c r="H1148" s="33">
        <v>8.4888</v>
      </c>
    </row>
    <row r="1149">
      <c r="A1149" s="31" t="s">
        <v>1380</v>
      </c>
      <c r="B1149" s="32">
        <v>42330.0</v>
      </c>
      <c r="C1149" s="31" t="s">
        <v>1238</v>
      </c>
      <c r="D1149" s="31" t="s">
        <v>47</v>
      </c>
      <c r="E1149" s="31" t="s">
        <v>31</v>
      </c>
      <c r="F1149" s="33">
        <v>206.962</v>
      </c>
      <c r="G1149" s="33">
        <v>2.0</v>
      </c>
      <c r="H1149" s="33">
        <v>-32.5226</v>
      </c>
    </row>
    <row r="1150">
      <c r="A1150" s="31" t="s">
        <v>1381</v>
      </c>
      <c r="B1150" s="32">
        <v>42346.0</v>
      </c>
      <c r="C1150" s="31" t="s">
        <v>1382</v>
      </c>
      <c r="D1150" s="31" t="s">
        <v>47</v>
      </c>
      <c r="E1150" s="31" t="s">
        <v>31</v>
      </c>
      <c r="F1150" s="33">
        <v>360.712</v>
      </c>
      <c r="G1150" s="33">
        <v>11.0</v>
      </c>
      <c r="H1150" s="33">
        <v>130.7581</v>
      </c>
    </row>
    <row r="1151">
      <c r="A1151" s="31" t="s">
        <v>1383</v>
      </c>
      <c r="B1151" s="32">
        <v>42198.0</v>
      </c>
      <c r="C1151" s="31" t="s">
        <v>1224</v>
      </c>
      <c r="D1151" s="31" t="s">
        <v>47</v>
      </c>
      <c r="E1151" s="31" t="s">
        <v>31</v>
      </c>
      <c r="F1151" s="33">
        <v>41.568</v>
      </c>
      <c r="G1151" s="33">
        <v>6.0</v>
      </c>
      <c r="H1151" s="33">
        <v>-66.5088</v>
      </c>
    </row>
    <row r="1152">
      <c r="A1152" s="31" t="s">
        <v>1384</v>
      </c>
      <c r="B1152" s="32">
        <v>42252.0</v>
      </c>
      <c r="C1152" s="31" t="s">
        <v>1370</v>
      </c>
      <c r="D1152" s="31" t="s">
        <v>11</v>
      </c>
      <c r="E1152" s="31" t="s">
        <v>28</v>
      </c>
      <c r="F1152" s="33">
        <v>411.332</v>
      </c>
      <c r="G1152" s="33">
        <v>4.0</v>
      </c>
      <c r="H1152" s="33">
        <v>-4.8392</v>
      </c>
    </row>
    <row r="1153">
      <c r="A1153" s="31" t="s">
        <v>1385</v>
      </c>
      <c r="B1153" s="32">
        <v>42332.0</v>
      </c>
      <c r="C1153" s="31" t="s">
        <v>1056</v>
      </c>
      <c r="D1153" s="31" t="s">
        <v>11</v>
      </c>
      <c r="E1153" s="31" t="s">
        <v>28</v>
      </c>
      <c r="F1153" s="33">
        <v>368.91</v>
      </c>
      <c r="G1153" s="33">
        <v>9.0</v>
      </c>
      <c r="H1153" s="33">
        <v>180.7659</v>
      </c>
    </row>
    <row r="1154">
      <c r="A1154" s="31" t="s">
        <v>1386</v>
      </c>
      <c r="B1154" s="32">
        <v>42194.0</v>
      </c>
      <c r="C1154" s="31" t="s">
        <v>1271</v>
      </c>
      <c r="D1154" s="31" t="s">
        <v>38</v>
      </c>
      <c r="E1154" s="31" t="s">
        <v>45</v>
      </c>
      <c r="F1154" s="33">
        <v>6.58</v>
      </c>
      <c r="G1154" s="33">
        <v>2.0</v>
      </c>
      <c r="H1154" s="33">
        <v>3.0268</v>
      </c>
    </row>
    <row r="1155">
      <c r="A1155" s="31" t="s">
        <v>1387</v>
      </c>
      <c r="B1155" s="32">
        <v>42050.0</v>
      </c>
      <c r="C1155" s="31" t="s">
        <v>1388</v>
      </c>
      <c r="D1155" s="31" t="s">
        <v>38</v>
      </c>
      <c r="E1155" s="31" t="s">
        <v>31</v>
      </c>
      <c r="F1155" s="33">
        <v>134.97</v>
      </c>
      <c r="G1155" s="33">
        <v>3.0</v>
      </c>
      <c r="H1155" s="33">
        <v>64.7856</v>
      </c>
    </row>
    <row r="1156">
      <c r="A1156" s="31" t="s">
        <v>1389</v>
      </c>
      <c r="B1156" s="32">
        <v>42261.0</v>
      </c>
      <c r="C1156" s="31" t="s">
        <v>1390</v>
      </c>
      <c r="D1156" s="31" t="s">
        <v>38</v>
      </c>
      <c r="E1156" s="31" t="s">
        <v>28</v>
      </c>
      <c r="F1156" s="33">
        <v>170.136</v>
      </c>
      <c r="G1156" s="33">
        <v>3.0</v>
      </c>
      <c r="H1156" s="33">
        <v>-8.5068</v>
      </c>
    </row>
    <row r="1157">
      <c r="A1157" s="31" t="s">
        <v>1391</v>
      </c>
      <c r="B1157" s="32">
        <v>42159.0</v>
      </c>
      <c r="C1157" s="31" t="s">
        <v>1392</v>
      </c>
      <c r="D1157" s="31" t="s">
        <v>11</v>
      </c>
      <c r="E1157" s="31" t="s">
        <v>28</v>
      </c>
      <c r="F1157" s="33">
        <v>7.38</v>
      </c>
      <c r="G1157" s="33">
        <v>2.0</v>
      </c>
      <c r="H1157" s="33">
        <v>3.4686</v>
      </c>
    </row>
    <row r="1158">
      <c r="A1158" s="31" t="s">
        <v>1393</v>
      </c>
      <c r="B1158" s="32">
        <v>42351.0</v>
      </c>
      <c r="C1158" s="31" t="s">
        <v>1394</v>
      </c>
      <c r="D1158" s="31" t="s">
        <v>11</v>
      </c>
      <c r="E1158" s="31" t="s">
        <v>28</v>
      </c>
      <c r="F1158" s="33">
        <v>9.96</v>
      </c>
      <c r="G1158" s="33">
        <v>2.0</v>
      </c>
      <c r="H1158" s="33">
        <v>4.5816</v>
      </c>
    </row>
    <row r="1159">
      <c r="A1159" s="31" t="s">
        <v>1395</v>
      </c>
      <c r="B1159" s="32">
        <v>42198.0</v>
      </c>
      <c r="C1159" s="31" t="s">
        <v>1396</v>
      </c>
      <c r="D1159" s="31" t="s">
        <v>38</v>
      </c>
      <c r="E1159" s="31" t="s">
        <v>59</v>
      </c>
      <c r="F1159" s="33">
        <v>38.88</v>
      </c>
      <c r="G1159" s="33">
        <v>6.0</v>
      </c>
      <c r="H1159" s="33">
        <v>18.6624</v>
      </c>
    </row>
    <row r="1160">
      <c r="A1160" s="31" t="s">
        <v>1397</v>
      </c>
      <c r="B1160" s="32">
        <v>42313.0</v>
      </c>
      <c r="C1160" s="31" t="s">
        <v>1398</v>
      </c>
      <c r="D1160" s="31" t="s">
        <v>38</v>
      </c>
      <c r="E1160" s="31" t="s">
        <v>59</v>
      </c>
      <c r="F1160" s="33">
        <v>207.0</v>
      </c>
      <c r="G1160" s="33">
        <v>3.0</v>
      </c>
      <c r="H1160" s="33">
        <v>25.875</v>
      </c>
    </row>
    <row r="1161">
      <c r="A1161" s="31" t="s">
        <v>1399</v>
      </c>
      <c r="B1161" s="32">
        <v>42044.0</v>
      </c>
      <c r="C1161" s="31" t="s">
        <v>1400</v>
      </c>
      <c r="D1161" s="31" t="s">
        <v>38</v>
      </c>
      <c r="E1161" s="31" t="s">
        <v>31</v>
      </c>
      <c r="F1161" s="33">
        <v>40.096</v>
      </c>
      <c r="G1161" s="33">
        <v>4.0</v>
      </c>
      <c r="H1161" s="33">
        <v>13.5324</v>
      </c>
    </row>
    <row r="1162">
      <c r="A1162" s="31" t="s">
        <v>1401</v>
      </c>
      <c r="B1162" s="32">
        <v>42205.0</v>
      </c>
      <c r="C1162" s="31" t="s">
        <v>1402</v>
      </c>
      <c r="D1162" s="31" t="s">
        <v>11</v>
      </c>
      <c r="E1162" s="31" t="s">
        <v>31</v>
      </c>
      <c r="F1162" s="33">
        <v>34.76</v>
      </c>
      <c r="G1162" s="33">
        <v>1.0</v>
      </c>
      <c r="H1162" s="33">
        <v>9.7328</v>
      </c>
    </row>
    <row r="1163">
      <c r="A1163" s="31" t="s">
        <v>1403</v>
      </c>
      <c r="B1163" s="32">
        <v>42250.0</v>
      </c>
      <c r="C1163" s="31" t="s">
        <v>1311</v>
      </c>
      <c r="D1163" s="31" t="s">
        <v>38</v>
      </c>
      <c r="E1163" s="31" t="s">
        <v>45</v>
      </c>
      <c r="F1163" s="33">
        <v>137.62</v>
      </c>
      <c r="G1163" s="33">
        <v>2.0</v>
      </c>
      <c r="H1163" s="33">
        <v>60.5528</v>
      </c>
    </row>
    <row r="1164">
      <c r="A1164" s="31" t="s">
        <v>1404</v>
      </c>
      <c r="B1164" s="32">
        <v>42180.0</v>
      </c>
      <c r="C1164" s="31" t="s">
        <v>1405</v>
      </c>
      <c r="D1164" s="31" t="s">
        <v>47</v>
      </c>
      <c r="E1164" s="31" t="s">
        <v>45</v>
      </c>
      <c r="F1164" s="33">
        <v>31.104</v>
      </c>
      <c r="G1164" s="33">
        <v>6.0</v>
      </c>
      <c r="H1164" s="33">
        <v>10.8864</v>
      </c>
    </row>
    <row r="1165">
      <c r="A1165" s="31" t="s">
        <v>1406</v>
      </c>
      <c r="B1165" s="32">
        <v>42068.0</v>
      </c>
      <c r="C1165" s="31" t="s">
        <v>1407</v>
      </c>
      <c r="D1165" s="31" t="s">
        <v>11</v>
      </c>
      <c r="E1165" s="31" t="s">
        <v>45</v>
      </c>
      <c r="F1165" s="33">
        <v>29.34</v>
      </c>
      <c r="G1165" s="33">
        <v>3.0</v>
      </c>
      <c r="H1165" s="33">
        <v>14.67</v>
      </c>
    </row>
    <row r="1166">
      <c r="A1166" s="31" t="s">
        <v>1408</v>
      </c>
      <c r="B1166" s="32">
        <v>42369.0</v>
      </c>
      <c r="C1166" s="31" t="s">
        <v>1108</v>
      </c>
      <c r="D1166" s="31" t="s">
        <v>11</v>
      </c>
      <c r="E1166" s="31" t="s">
        <v>28</v>
      </c>
      <c r="F1166" s="33">
        <v>487.984</v>
      </c>
      <c r="G1166" s="33">
        <v>2.0</v>
      </c>
      <c r="H1166" s="33">
        <v>152.495</v>
      </c>
    </row>
    <row r="1167">
      <c r="A1167" s="31" t="s">
        <v>1409</v>
      </c>
      <c r="B1167" s="32">
        <v>42038.0</v>
      </c>
      <c r="C1167" s="31" t="s">
        <v>1304</v>
      </c>
      <c r="D1167" s="31" t="s">
        <v>38</v>
      </c>
      <c r="E1167" s="31" t="s">
        <v>28</v>
      </c>
      <c r="F1167" s="33">
        <v>136.92</v>
      </c>
      <c r="G1167" s="33">
        <v>4.0</v>
      </c>
      <c r="H1167" s="33">
        <v>41.076</v>
      </c>
    </row>
    <row r="1168">
      <c r="A1168" s="31" t="s">
        <v>1410</v>
      </c>
      <c r="B1168" s="32">
        <v>42316.0</v>
      </c>
      <c r="C1168" s="31" t="s">
        <v>1411</v>
      </c>
      <c r="D1168" s="31" t="s">
        <v>11</v>
      </c>
      <c r="E1168" s="31" t="s">
        <v>45</v>
      </c>
      <c r="F1168" s="33">
        <v>11.65</v>
      </c>
      <c r="G1168" s="33">
        <v>5.0</v>
      </c>
      <c r="H1168" s="33">
        <v>3.3785</v>
      </c>
    </row>
    <row r="1169">
      <c r="A1169" s="31" t="s">
        <v>1412</v>
      </c>
      <c r="B1169" s="32">
        <v>42307.0</v>
      </c>
      <c r="C1169" s="31" t="s">
        <v>1405</v>
      </c>
      <c r="D1169" s="31" t="s">
        <v>47</v>
      </c>
      <c r="E1169" s="31" t="s">
        <v>31</v>
      </c>
      <c r="F1169" s="33">
        <v>299.9</v>
      </c>
      <c r="G1169" s="33">
        <v>2.0</v>
      </c>
      <c r="H1169" s="33">
        <v>74.975</v>
      </c>
    </row>
    <row r="1170">
      <c r="A1170" s="31" t="s">
        <v>1413</v>
      </c>
      <c r="B1170" s="32">
        <v>42280.0</v>
      </c>
      <c r="C1170" s="31" t="s">
        <v>1089</v>
      </c>
      <c r="D1170" s="31" t="s">
        <v>38</v>
      </c>
      <c r="E1170" s="31" t="s">
        <v>45</v>
      </c>
      <c r="F1170" s="33">
        <v>15.008</v>
      </c>
      <c r="G1170" s="33">
        <v>2.0</v>
      </c>
      <c r="H1170" s="33">
        <v>1.5008</v>
      </c>
    </row>
    <row r="1171">
      <c r="A1171" s="31" t="s">
        <v>1414</v>
      </c>
      <c r="B1171" s="32">
        <v>42149.0</v>
      </c>
      <c r="C1171" s="31" t="s">
        <v>1415</v>
      </c>
      <c r="D1171" s="31" t="s">
        <v>47</v>
      </c>
      <c r="E1171" s="31" t="s">
        <v>28</v>
      </c>
      <c r="F1171" s="33">
        <v>14.73</v>
      </c>
      <c r="G1171" s="33">
        <v>3.0</v>
      </c>
      <c r="H1171" s="33">
        <v>4.8609</v>
      </c>
    </row>
    <row r="1172">
      <c r="A1172" s="31" t="s">
        <v>1416</v>
      </c>
      <c r="B1172" s="32">
        <v>42132.0</v>
      </c>
      <c r="C1172" s="31" t="s">
        <v>1192</v>
      </c>
      <c r="D1172" s="31" t="s">
        <v>11</v>
      </c>
      <c r="E1172" s="31" t="s">
        <v>28</v>
      </c>
      <c r="F1172" s="33">
        <v>5.248</v>
      </c>
      <c r="G1172" s="33">
        <v>2.0</v>
      </c>
      <c r="H1172" s="33">
        <v>0.5904</v>
      </c>
    </row>
    <row r="1173">
      <c r="A1173" s="31" t="s">
        <v>1417</v>
      </c>
      <c r="B1173" s="32">
        <v>42352.0</v>
      </c>
      <c r="C1173" s="31" t="s">
        <v>1418</v>
      </c>
      <c r="D1173" s="31" t="s">
        <v>38</v>
      </c>
      <c r="E1173" s="31" t="s">
        <v>59</v>
      </c>
      <c r="F1173" s="33">
        <v>3.76</v>
      </c>
      <c r="G1173" s="33">
        <v>2.0</v>
      </c>
      <c r="H1173" s="33">
        <v>1.8048</v>
      </c>
    </row>
    <row r="1174">
      <c r="A1174" s="31" t="s">
        <v>1419</v>
      </c>
      <c r="B1174" s="32">
        <v>42317.0</v>
      </c>
      <c r="C1174" s="31" t="s">
        <v>1420</v>
      </c>
      <c r="D1174" s="31" t="s">
        <v>11</v>
      </c>
      <c r="E1174" s="31" t="s">
        <v>31</v>
      </c>
      <c r="F1174" s="33">
        <v>17.22</v>
      </c>
      <c r="G1174" s="33">
        <v>3.0</v>
      </c>
      <c r="H1174" s="33">
        <v>7.9212</v>
      </c>
    </row>
    <row r="1175">
      <c r="A1175" s="31" t="s">
        <v>1421</v>
      </c>
      <c r="B1175" s="32">
        <v>42349.0</v>
      </c>
      <c r="C1175" s="31" t="s">
        <v>1422</v>
      </c>
      <c r="D1175" s="31" t="s">
        <v>11</v>
      </c>
      <c r="E1175" s="31" t="s">
        <v>31</v>
      </c>
      <c r="F1175" s="33">
        <v>159.984</v>
      </c>
      <c r="G1175" s="33">
        <v>2.0</v>
      </c>
      <c r="H1175" s="33">
        <v>35.9964</v>
      </c>
    </row>
    <row r="1176">
      <c r="A1176" s="31" t="s">
        <v>1423</v>
      </c>
      <c r="B1176" s="32">
        <v>42082.0</v>
      </c>
      <c r="C1176" s="31" t="s">
        <v>1424</v>
      </c>
      <c r="D1176" s="31" t="s">
        <v>11</v>
      </c>
      <c r="E1176" s="31" t="s">
        <v>28</v>
      </c>
      <c r="F1176" s="33">
        <v>17.568</v>
      </c>
      <c r="G1176" s="33">
        <v>2.0</v>
      </c>
      <c r="H1176" s="33">
        <v>6.3684</v>
      </c>
    </row>
    <row r="1177">
      <c r="A1177" s="31" t="s">
        <v>1425</v>
      </c>
      <c r="B1177" s="32">
        <v>42076.0</v>
      </c>
      <c r="C1177" s="31" t="s">
        <v>1355</v>
      </c>
      <c r="D1177" s="31" t="s">
        <v>11</v>
      </c>
      <c r="E1177" s="31" t="s">
        <v>28</v>
      </c>
      <c r="F1177" s="33">
        <v>141.96</v>
      </c>
      <c r="G1177" s="33">
        <v>2.0</v>
      </c>
      <c r="H1177" s="33">
        <v>39.7488</v>
      </c>
    </row>
    <row r="1178">
      <c r="A1178" s="31" t="s">
        <v>1426</v>
      </c>
      <c r="B1178" s="32">
        <v>42334.0</v>
      </c>
      <c r="C1178" s="31" t="s">
        <v>1427</v>
      </c>
      <c r="D1178" s="31" t="s">
        <v>38</v>
      </c>
      <c r="E1178" s="31" t="s">
        <v>45</v>
      </c>
      <c r="F1178" s="33">
        <v>14.73</v>
      </c>
      <c r="G1178" s="33">
        <v>3.0</v>
      </c>
      <c r="H1178" s="33">
        <v>6.9231</v>
      </c>
    </row>
    <row r="1179">
      <c r="A1179" s="31" t="s">
        <v>1428</v>
      </c>
      <c r="B1179" s="32">
        <v>42027.0</v>
      </c>
      <c r="C1179" s="31" t="s">
        <v>1429</v>
      </c>
      <c r="D1179" s="31" t="s">
        <v>47</v>
      </c>
      <c r="E1179" s="31" t="s">
        <v>28</v>
      </c>
      <c r="F1179" s="33">
        <v>29.04</v>
      </c>
      <c r="G1179" s="33">
        <v>3.0</v>
      </c>
      <c r="H1179" s="33">
        <v>13.9392</v>
      </c>
    </row>
    <row r="1180">
      <c r="A1180" s="31" t="s">
        <v>1430</v>
      </c>
      <c r="B1180" s="32">
        <v>42173.0</v>
      </c>
      <c r="C1180" s="31" t="s">
        <v>1258</v>
      </c>
      <c r="D1180" s="31" t="s">
        <v>47</v>
      </c>
      <c r="E1180" s="31" t="s">
        <v>28</v>
      </c>
      <c r="F1180" s="33">
        <v>11.952</v>
      </c>
      <c r="G1180" s="33">
        <v>3.0</v>
      </c>
      <c r="H1180" s="33">
        <v>4.3326</v>
      </c>
    </row>
    <row r="1181">
      <c r="A1181" s="31" t="s">
        <v>1431</v>
      </c>
      <c r="B1181" s="32">
        <v>42279.0</v>
      </c>
      <c r="C1181" s="31" t="s">
        <v>1432</v>
      </c>
      <c r="D1181" s="31" t="s">
        <v>38</v>
      </c>
      <c r="E1181" s="31" t="s">
        <v>28</v>
      </c>
      <c r="F1181" s="33">
        <v>57.504</v>
      </c>
      <c r="G1181" s="33">
        <v>6.0</v>
      </c>
      <c r="H1181" s="33">
        <v>20.1264</v>
      </c>
    </row>
    <row r="1182">
      <c r="A1182" s="31" t="s">
        <v>1433</v>
      </c>
      <c r="B1182" s="32">
        <v>42196.0</v>
      </c>
      <c r="C1182" s="31" t="s">
        <v>1434</v>
      </c>
      <c r="D1182" s="31" t="s">
        <v>11</v>
      </c>
      <c r="E1182" s="31" t="s">
        <v>45</v>
      </c>
      <c r="F1182" s="33">
        <v>289.8</v>
      </c>
      <c r="G1182" s="33">
        <v>7.0</v>
      </c>
      <c r="H1182" s="33">
        <v>36.225</v>
      </c>
    </row>
    <row r="1183">
      <c r="A1183" s="31" t="s">
        <v>1435</v>
      </c>
      <c r="B1183" s="32">
        <v>42107.0</v>
      </c>
      <c r="C1183" s="31" t="s">
        <v>1436</v>
      </c>
      <c r="D1183" s="31" t="s">
        <v>11</v>
      </c>
      <c r="E1183" s="31" t="s">
        <v>28</v>
      </c>
      <c r="F1183" s="33">
        <v>199.96</v>
      </c>
      <c r="G1183" s="33">
        <v>4.0</v>
      </c>
      <c r="H1183" s="33">
        <v>69.986</v>
      </c>
    </row>
    <row r="1184">
      <c r="A1184" s="31" t="s">
        <v>1437</v>
      </c>
      <c r="B1184" s="32">
        <v>42362.0</v>
      </c>
      <c r="C1184" s="31" t="s">
        <v>1438</v>
      </c>
      <c r="D1184" s="31" t="s">
        <v>11</v>
      </c>
      <c r="E1184" s="31" t="s">
        <v>28</v>
      </c>
      <c r="F1184" s="33">
        <v>106.232</v>
      </c>
      <c r="G1184" s="33">
        <v>7.0</v>
      </c>
      <c r="H1184" s="33">
        <v>37.1812</v>
      </c>
    </row>
    <row r="1185">
      <c r="A1185" s="31" t="s">
        <v>1439</v>
      </c>
      <c r="B1185" s="32">
        <v>42303.0</v>
      </c>
      <c r="C1185" s="31" t="s">
        <v>1440</v>
      </c>
      <c r="D1185" s="31" t="s">
        <v>38</v>
      </c>
      <c r="E1185" s="31" t="s">
        <v>28</v>
      </c>
      <c r="F1185" s="33">
        <v>5.76</v>
      </c>
      <c r="G1185" s="33">
        <v>2.0</v>
      </c>
      <c r="H1185" s="33">
        <v>2.6496</v>
      </c>
    </row>
    <row r="1186">
      <c r="A1186" s="31" t="s">
        <v>1441</v>
      </c>
      <c r="B1186" s="32">
        <v>42107.0</v>
      </c>
      <c r="C1186" s="31" t="s">
        <v>1342</v>
      </c>
      <c r="D1186" s="31" t="s">
        <v>11</v>
      </c>
      <c r="E1186" s="31" t="s">
        <v>28</v>
      </c>
      <c r="F1186" s="33">
        <v>12.88</v>
      </c>
      <c r="G1186" s="33">
        <v>1.0</v>
      </c>
      <c r="H1186" s="33">
        <v>0.3864</v>
      </c>
    </row>
    <row r="1187">
      <c r="A1187" s="31" t="s">
        <v>1442</v>
      </c>
      <c r="B1187" s="32">
        <v>42333.0</v>
      </c>
      <c r="C1187" s="31" t="s">
        <v>1443</v>
      </c>
      <c r="D1187" s="31" t="s">
        <v>11</v>
      </c>
      <c r="E1187" s="31" t="s">
        <v>59</v>
      </c>
      <c r="F1187" s="33">
        <v>13.12</v>
      </c>
      <c r="G1187" s="33">
        <v>5.0</v>
      </c>
      <c r="H1187" s="33">
        <v>1.476</v>
      </c>
    </row>
    <row r="1188">
      <c r="A1188" s="31" t="s">
        <v>1444</v>
      </c>
      <c r="B1188" s="32">
        <v>42308.0</v>
      </c>
      <c r="C1188" s="31" t="s">
        <v>1445</v>
      </c>
      <c r="D1188" s="31" t="s">
        <v>11</v>
      </c>
      <c r="E1188" s="31" t="s">
        <v>28</v>
      </c>
      <c r="F1188" s="33">
        <v>19.98</v>
      </c>
      <c r="G1188" s="33">
        <v>1.0</v>
      </c>
      <c r="H1188" s="33">
        <v>9.3906</v>
      </c>
    </row>
    <row r="1189">
      <c r="A1189" s="31" t="s">
        <v>1446</v>
      </c>
      <c r="B1189" s="32">
        <v>42289.0</v>
      </c>
      <c r="C1189" s="31" t="s">
        <v>1402</v>
      </c>
      <c r="D1189" s="31" t="s">
        <v>11</v>
      </c>
      <c r="E1189" s="31" t="s">
        <v>45</v>
      </c>
      <c r="F1189" s="33">
        <v>209.67</v>
      </c>
      <c r="G1189" s="33">
        <v>1.0</v>
      </c>
      <c r="H1189" s="33">
        <v>-13.978</v>
      </c>
    </row>
    <row r="1190">
      <c r="A1190" s="31" t="s">
        <v>1447</v>
      </c>
      <c r="B1190" s="32">
        <v>42281.0</v>
      </c>
      <c r="C1190" s="31" t="s">
        <v>1349</v>
      </c>
      <c r="D1190" s="31" t="s">
        <v>47</v>
      </c>
      <c r="E1190" s="31" t="s">
        <v>45</v>
      </c>
      <c r="F1190" s="33">
        <v>64.944</v>
      </c>
      <c r="G1190" s="33">
        <v>3.0</v>
      </c>
      <c r="H1190" s="33">
        <v>6.4944</v>
      </c>
    </row>
    <row r="1191">
      <c r="A1191" s="31" t="s">
        <v>1448</v>
      </c>
      <c r="B1191" s="32">
        <v>42328.0</v>
      </c>
      <c r="C1191" s="31" t="s">
        <v>1449</v>
      </c>
      <c r="D1191" s="31" t="s">
        <v>11</v>
      </c>
      <c r="E1191" s="31" t="s">
        <v>45</v>
      </c>
      <c r="F1191" s="33">
        <v>19.65</v>
      </c>
      <c r="G1191" s="33">
        <v>3.0</v>
      </c>
      <c r="H1191" s="33">
        <v>9.039</v>
      </c>
    </row>
    <row r="1192">
      <c r="A1192" s="31" t="s">
        <v>1450</v>
      </c>
      <c r="B1192" s="32">
        <v>42338.0</v>
      </c>
      <c r="C1192" s="31" t="s">
        <v>1451</v>
      </c>
      <c r="D1192" s="31" t="s">
        <v>11</v>
      </c>
      <c r="E1192" s="31" t="s">
        <v>45</v>
      </c>
      <c r="F1192" s="33">
        <v>152.991</v>
      </c>
      <c r="G1192" s="33">
        <v>3.0</v>
      </c>
      <c r="H1192" s="33">
        <v>-122.3928</v>
      </c>
    </row>
    <row r="1193">
      <c r="A1193" s="31" t="s">
        <v>1452</v>
      </c>
      <c r="B1193" s="32">
        <v>42369.0</v>
      </c>
      <c r="C1193" s="31" t="s">
        <v>1453</v>
      </c>
      <c r="D1193" s="31" t="s">
        <v>11</v>
      </c>
      <c r="E1193" s="31" t="s">
        <v>31</v>
      </c>
      <c r="F1193" s="33">
        <v>14.76</v>
      </c>
      <c r="G1193" s="33">
        <v>5.0</v>
      </c>
      <c r="H1193" s="33">
        <v>-11.439</v>
      </c>
    </row>
    <row r="1194">
      <c r="A1194" s="31" t="s">
        <v>1454</v>
      </c>
      <c r="B1194" s="32">
        <v>42330.0</v>
      </c>
      <c r="C1194" s="31" t="s">
        <v>1455</v>
      </c>
      <c r="D1194" s="31" t="s">
        <v>11</v>
      </c>
      <c r="E1194" s="31" t="s">
        <v>45</v>
      </c>
      <c r="F1194" s="33">
        <v>14.94</v>
      </c>
      <c r="G1194" s="33">
        <v>3.0</v>
      </c>
      <c r="H1194" s="33">
        <v>7.0218</v>
      </c>
    </row>
    <row r="1195">
      <c r="A1195" s="31" t="s">
        <v>1456</v>
      </c>
      <c r="B1195" s="32">
        <v>42215.0</v>
      </c>
      <c r="C1195" s="31" t="s">
        <v>1457</v>
      </c>
      <c r="D1195" s="31" t="s">
        <v>38</v>
      </c>
      <c r="E1195" s="31" t="s">
        <v>31</v>
      </c>
      <c r="F1195" s="33">
        <v>61.792</v>
      </c>
      <c r="G1195" s="33">
        <v>4.0</v>
      </c>
      <c r="H1195" s="33">
        <v>6.1792</v>
      </c>
    </row>
    <row r="1196">
      <c r="A1196" s="31" t="s">
        <v>1458</v>
      </c>
      <c r="B1196" s="32">
        <v>42091.0</v>
      </c>
      <c r="C1196" s="31" t="s">
        <v>1459</v>
      </c>
      <c r="D1196" s="31" t="s">
        <v>11</v>
      </c>
      <c r="E1196" s="31" t="s">
        <v>45</v>
      </c>
      <c r="F1196" s="33">
        <v>15.552</v>
      </c>
      <c r="G1196" s="33">
        <v>3.0</v>
      </c>
      <c r="H1196" s="33">
        <v>5.4432</v>
      </c>
    </row>
    <row r="1197">
      <c r="A1197" s="31" t="s">
        <v>1460</v>
      </c>
      <c r="B1197" s="32">
        <v>42253.0</v>
      </c>
      <c r="C1197" s="31" t="s">
        <v>1461</v>
      </c>
      <c r="D1197" s="31" t="s">
        <v>47</v>
      </c>
      <c r="E1197" s="31" t="s">
        <v>28</v>
      </c>
      <c r="F1197" s="33">
        <v>6.096</v>
      </c>
      <c r="G1197" s="33">
        <v>2.0</v>
      </c>
      <c r="H1197" s="33">
        <v>2.1336</v>
      </c>
    </row>
    <row r="1198">
      <c r="A1198" s="31" t="s">
        <v>1462</v>
      </c>
      <c r="B1198" s="32">
        <v>42184.0</v>
      </c>
      <c r="C1198" s="31" t="s">
        <v>1106</v>
      </c>
      <c r="D1198" s="31" t="s">
        <v>11</v>
      </c>
      <c r="E1198" s="31" t="s">
        <v>45</v>
      </c>
      <c r="F1198" s="33">
        <v>20.104</v>
      </c>
      <c r="G1198" s="33">
        <v>1.0</v>
      </c>
      <c r="H1198" s="33">
        <v>1.7591</v>
      </c>
    </row>
    <row r="1199">
      <c r="A1199" s="31" t="s">
        <v>1463</v>
      </c>
      <c r="B1199" s="32">
        <v>42238.0</v>
      </c>
      <c r="C1199" s="31" t="s">
        <v>1464</v>
      </c>
      <c r="D1199" s="31" t="s">
        <v>47</v>
      </c>
      <c r="E1199" s="31" t="s">
        <v>45</v>
      </c>
      <c r="F1199" s="33">
        <v>16.52</v>
      </c>
      <c r="G1199" s="33">
        <v>4.0</v>
      </c>
      <c r="H1199" s="33">
        <v>7.5992</v>
      </c>
    </row>
    <row r="1200">
      <c r="A1200" s="31" t="s">
        <v>1465</v>
      </c>
      <c r="B1200" s="32">
        <v>42344.0</v>
      </c>
      <c r="C1200" s="31" t="s">
        <v>1466</v>
      </c>
      <c r="D1200" s="31" t="s">
        <v>11</v>
      </c>
      <c r="E1200" s="31" t="s">
        <v>45</v>
      </c>
      <c r="F1200" s="33">
        <v>485.94</v>
      </c>
      <c r="G1200" s="33">
        <v>2.0</v>
      </c>
      <c r="H1200" s="33">
        <v>-89.089</v>
      </c>
    </row>
    <row r="1201">
      <c r="A1201" s="31" t="s">
        <v>1467</v>
      </c>
      <c r="B1201" s="32">
        <v>42352.0</v>
      </c>
      <c r="C1201" s="31" t="s">
        <v>1468</v>
      </c>
      <c r="D1201" s="31" t="s">
        <v>11</v>
      </c>
      <c r="E1201" s="31" t="s">
        <v>28</v>
      </c>
      <c r="F1201" s="33">
        <v>319.968</v>
      </c>
      <c r="G1201" s="33">
        <v>4.0</v>
      </c>
      <c r="H1201" s="33">
        <v>35.9964</v>
      </c>
    </row>
    <row r="1202">
      <c r="A1202" s="31" t="s">
        <v>1469</v>
      </c>
      <c r="B1202" s="32">
        <v>42262.0</v>
      </c>
      <c r="C1202" s="31" t="s">
        <v>1470</v>
      </c>
      <c r="D1202" s="31" t="s">
        <v>11</v>
      </c>
      <c r="E1202" s="31" t="s">
        <v>31</v>
      </c>
      <c r="F1202" s="33">
        <v>190.86</v>
      </c>
      <c r="G1202" s="33">
        <v>2.0</v>
      </c>
      <c r="H1202" s="33">
        <v>11.4516</v>
      </c>
    </row>
    <row r="1203">
      <c r="A1203" s="31" t="s">
        <v>1471</v>
      </c>
      <c r="B1203" s="32">
        <v>42050.0</v>
      </c>
      <c r="C1203" s="31" t="s">
        <v>1472</v>
      </c>
      <c r="D1203" s="31" t="s">
        <v>11</v>
      </c>
      <c r="E1203" s="31" t="s">
        <v>28</v>
      </c>
      <c r="F1203" s="33">
        <v>13.36</v>
      </c>
      <c r="G1203" s="33">
        <v>2.0</v>
      </c>
      <c r="H1203" s="33">
        <v>6.4128</v>
      </c>
    </row>
    <row r="1204">
      <c r="A1204" s="31" t="s">
        <v>1473</v>
      </c>
      <c r="B1204" s="32">
        <v>42275.0</v>
      </c>
      <c r="C1204" s="31" t="s">
        <v>1474</v>
      </c>
      <c r="D1204" s="31" t="s">
        <v>38</v>
      </c>
      <c r="E1204" s="31" t="s">
        <v>28</v>
      </c>
      <c r="F1204" s="33">
        <v>43.26</v>
      </c>
      <c r="G1204" s="33">
        <v>3.0</v>
      </c>
      <c r="H1204" s="33">
        <v>14.2758</v>
      </c>
    </row>
    <row r="1205">
      <c r="A1205" s="31" t="s">
        <v>1475</v>
      </c>
      <c r="B1205" s="32">
        <v>42316.0</v>
      </c>
      <c r="C1205" s="31" t="s">
        <v>1476</v>
      </c>
      <c r="D1205" s="31" t="s">
        <v>47</v>
      </c>
      <c r="E1205" s="31" t="s">
        <v>28</v>
      </c>
      <c r="F1205" s="33">
        <v>5.0</v>
      </c>
      <c r="G1205" s="33">
        <v>1.0</v>
      </c>
      <c r="H1205" s="33">
        <v>2.4</v>
      </c>
    </row>
    <row r="1206">
      <c r="A1206" s="31" t="s">
        <v>1477</v>
      </c>
      <c r="B1206" s="32">
        <v>42356.0</v>
      </c>
      <c r="C1206" s="31" t="s">
        <v>1478</v>
      </c>
      <c r="D1206" s="31" t="s">
        <v>11</v>
      </c>
      <c r="E1206" s="31" t="s">
        <v>45</v>
      </c>
      <c r="F1206" s="33">
        <v>166.24</v>
      </c>
      <c r="G1206" s="33">
        <v>1.0</v>
      </c>
      <c r="H1206" s="33">
        <v>24.936</v>
      </c>
    </row>
    <row r="1207">
      <c r="A1207" s="31" t="s">
        <v>1479</v>
      </c>
      <c r="B1207" s="32">
        <v>42268.0</v>
      </c>
      <c r="C1207" s="31" t="s">
        <v>1117</v>
      </c>
      <c r="D1207" s="31" t="s">
        <v>11</v>
      </c>
      <c r="E1207" s="31" t="s">
        <v>28</v>
      </c>
      <c r="F1207" s="33">
        <v>199.74</v>
      </c>
      <c r="G1207" s="33">
        <v>6.0</v>
      </c>
      <c r="H1207" s="33">
        <v>47.9376</v>
      </c>
    </row>
    <row r="1208">
      <c r="A1208" s="31" t="s">
        <v>1480</v>
      </c>
      <c r="B1208" s="32">
        <v>42069.0</v>
      </c>
      <c r="C1208" s="31" t="s">
        <v>1212</v>
      </c>
      <c r="D1208" s="31" t="s">
        <v>11</v>
      </c>
      <c r="E1208" s="31" t="s">
        <v>28</v>
      </c>
      <c r="F1208" s="33">
        <v>435.26</v>
      </c>
      <c r="G1208" s="33">
        <v>7.0</v>
      </c>
      <c r="H1208" s="33">
        <v>95.7572</v>
      </c>
    </row>
    <row r="1209">
      <c r="A1209" s="31" t="s">
        <v>1481</v>
      </c>
      <c r="B1209" s="32">
        <v>42068.0</v>
      </c>
      <c r="C1209" s="31" t="s">
        <v>1361</v>
      </c>
      <c r="D1209" s="31" t="s">
        <v>11</v>
      </c>
      <c r="E1209" s="31" t="s">
        <v>31</v>
      </c>
      <c r="F1209" s="33">
        <v>23.92</v>
      </c>
      <c r="G1209" s="33">
        <v>2.0</v>
      </c>
      <c r="H1209" s="33">
        <v>6.6976</v>
      </c>
    </row>
    <row r="1210">
      <c r="A1210" s="31" t="s">
        <v>1482</v>
      </c>
      <c r="B1210" s="32">
        <v>42114.0</v>
      </c>
      <c r="C1210" s="31" t="s">
        <v>1254</v>
      </c>
      <c r="D1210" s="31" t="s">
        <v>38</v>
      </c>
      <c r="E1210" s="31" t="s">
        <v>59</v>
      </c>
      <c r="F1210" s="33">
        <v>287.97</v>
      </c>
      <c r="G1210" s="33">
        <v>3.0</v>
      </c>
      <c r="H1210" s="33">
        <v>77.7519</v>
      </c>
    </row>
    <row r="1211">
      <c r="A1211" s="31" t="s">
        <v>1483</v>
      </c>
      <c r="B1211" s="32">
        <v>42309.0</v>
      </c>
      <c r="C1211" s="31" t="s">
        <v>1484</v>
      </c>
      <c r="D1211" s="31" t="s">
        <v>38</v>
      </c>
      <c r="E1211" s="31" t="s">
        <v>45</v>
      </c>
      <c r="F1211" s="33">
        <v>4.95</v>
      </c>
      <c r="G1211" s="33">
        <v>1.0</v>
      </c>
      <c r="H1211" s="33">
        <v>1.3365</v>
      </c>
    </row>
    <row r="1212">
      <c r="A1212" s="31" t="s">
        <v>1485</v>
      </c>
      <c r="B1212" s="32">
        <v>42309.0</v>
      </c>
      <c r="C1212" s="31" t="s">
        <v>1099</v>
      </c>
      <c r="D1212" s="31" t="s">
        <v>11</v>
      </c>
      <c r="E1212" s="31" t="s">
        <v>45</v>
      </c>
      <c r="F1212" s="33">
        <v>13.52</v>
      </c>
      <c r="G1212" s="33">
        <v>4.0</v>
      </c>
      <c r="H1212" s="33">
        <v>6.2192</v>
      </c>
    </row>
    <row r="1213">
      <c r="A1213" s="31" t="s">
        <v>1486</v>
      </c>
      <c r="B1213" s="32">
        <v>42222.0</v>
      </c>
      <c r="C1213" s="31" t="s">
        <v>1091</v>
      </c>
      <c r="D1213" s="31" t="s">
        <v>38</v>
      </c>
      <c r="E1213" s="31" t="s">
        <v>31</v>
      </c>
      <c r="F1213" s="33">
        <v>27.216</v>
      </c>
      <c r="G1213" s="33">
        <v>3.0</v>
      </c>
      <c r="H1213" s="33">
        <v>9.8658</v>
      </c>
    </row>
    <row r="1214">
      <c r="A1214" s="31" t="s">
        <v>1487</v>
      </c>
      <c r="B1214" s="32">
        <v>42361.0</v>
      </c>
      <c r="C1214" s="31" t="s">
        <v>1488</v>
      </c>
      <c r="D1214" s="31" t="s">
        <v>11</v>
      </c>
      <c r="E1214" s="31" t="s">
        <v>59</v>
      </c>
      <c r="F1214" s="33">
        <v>194.32</v>
      </c>
      <c r="G1214" s="33">
        <v>4.0</v>
      </c>
      <c r="H1214" s="33">
        <v>56.3528</v>
      </c>
    </row>
    <row r="1215">
      <c r="A1215" s="31" t="s">
        <v>1489</v>
      </c>
      <c r="B1215" s="32">
        <v>42369.0</v>
      </c>
      <c r="C1215" s="31" t="s">
        <v>1490</v>
      </c>
      <c r="D1215" s="31" t="s">
        <v>38</v>
      </c>
      <c r="E1215" s="31" t="s">
        <v>59</v>
      </c>
      <c r="F1215" s="33">
        <v>94.74</v>
      </c>
      <c r="G1215" s="33">
        <v>3.0</v>
      </c>
      <c r="H1215" s="33">
        <v>44.5278</v>
      </c>
    </row>
    <row r="1216">
      <c r="A1216" s="31" t="s">
        <v>1491</v>
      </c>
      <c r="B1216" s="32">
        <v>42262.0</v>
      </c>
      <c r="C1216" s="31" t="s">
        <v>1492</v>
      </c>
      <c r="D1216" s="31" t="s">
        <v>38</v>
      </c>
      <c r="E1216" s="31" t="s">
        <v>45</v>
      </c>
      <c r="F1216" s="33">
        <v>79.872</v>
      </c>
      <c r="G1216" s="33">
        <v>3.0</v>
      </c>
      <c r="H1216" s="33">
        <v>29.952</v>
      </c>
    </row>
    <row r="1217">
      <c r="A1217" s="31" t="s">
        <v>1493</v>
      </c>
      <c r="B1217" s="32">
        <v>42363.0</v>
      </c>
      <c r="C1217" s="31" t="s">
        <v>1494</v>
      </c>
      <c r="D1217" s="31" t="s">
        <v>38</v>
      </c>
      <c r="E1217" s="31" t="s">
        <v>45</v>
      </c>
      <c r="F1217" s="33">
        <v>547.136</v>
      </c>
      <c r="G1217" s="33">
        <v>4.0</v>
      </c>
      <c r="H1217" s="33">
        <v>-68.392</v>
      </c>
    </row>
    <row r="1218">
      <c r="A1218" s="31" t="s">
        <v>1495</v>
      </c>
      <c r="B1218" s="32">
        <v>42247.0</v>
      </c>
      <c r="C1218" s="31" t="s">
        <v>1496</v>
      </c>
      <c r="D1218" s="31" t="s">
        <v>38</v>
      </c>
      <c r="E1218" s="31" t="s">
        <v>28</v>
      </c>
      <c r="F1218" s="33">
        <v>1552.831</v>
      </c>
      <c r="G1218" s="33">
        <v>7.0</v>
      </c>
      <c r="H1218" s="33">
        <v>200.9546</v>
      </c>
    </row>
    <row r="1219">
      <c r="A1219" s="31" t="s">
        <v>1497</v>
      </c>
      <c r="B1219" s="32">
        <v>42344.0</v>
      </c>
      <c r="C1219" s="31" t="s">
        <v>1498</v>
      </c>
      <c r="D1219" s="31" t="s">
        <v>47</v>
      </c>
      <c r="E1219" s="31" t="s">
        <v>28</v>
      </c>
      <c r="F1219" s="33">
        <v>32.75</v>
      </c>
      <c r="G1219" s="33">
        <v>5.0</v>
      </c>
      <c r="H1219" s="33">
        <v>15.065</v>
      </c>
    </row>
    <row r="1220">
      <c r="A1220" s="31" t="s">
        <v>1499</v>
      </c>
      <c r="B1220" s="32">
        <v>42350.0</v>
      </c>
      <c r="C1220" s="31" t="s">
        <v>1466</v>
      </c>
      <c r="D1220" s="31" t="s">
        <v>11</v>
      </c>
      <c r="E1220" s="31" t="s">
        <v>28</v>
      </c>
      <c r="F1220" s="33">
        <v>7.86</v>
      </c>
      <c r="G1220" s="33">
        <v>2.0</v>
      </c>
      <c r="H1220" s="33">
        <v>3.6156</v>
      </c>
    </row>
    <row r="1221">
      <c r="A1221" s="31" t="s">
        <v>1500</v>
      </c>
      <c r="B1221" s="32">
        <v>42344.0</v>
      </c>
      <c r="C1221" s="31" t="s">
        <v>1501</v>
      </c>
      <c r="D1221" s="31" t="s">
        <v>11</v>
      </c>
      <c r="E1221" s="31" t="s">
        <v>45</v>
      </c>
      <c r="F1221" s="33">
        <v>6.48</v>
      </c>
      <c r="G1221" s="33">
        <v>1.0</v>
      </c>
      <c r="H1221" s="33">
        <v>3.1104</v>
      </c>
    </row>
    <row r="1222">
      <c r="A1222" s="31" t="s">
        <v>1502</v>
      </c>
      <c r="B1222" s="32">
        <v>42322.0</v>
      </c>
      <c r="C1222" s="31" t="s">
        <v>1503</v>
      </c>
      <c r="D1222" s="31" t="s">
        <v>38</v>
      </c>
      <c r="E1222" s="31" t="s">
        <v>45</v>
      </c>
      <c r="F1222" s="33">
        <v>37.6</v>
      </c>
      <c r="G1222" s="33">
        <v>2.0</v>
      </c>
      <c r="H1222" s="33">
        <v>2.256</v>
      </c>
    </row>
    <row r="1223">
      <c r="A1223" s="31" t="s">
        <v>1504</v>
      </c>
      <c r="B1223" s="32">
        <v>42162.0</v>
      </c>
      <c r="C1223" s="31" t="s">
        <v>1505</v>
      </c>
      <c r="D1223" s="31" t="s">
        <v>38</v>
      </c>
      <c r="E1223" s="31" t="s">
        <v>28</v>
      </c>
      <c r="F1223" s="33">
        <v>7.52</v>
      </c>
      <c r="G1223" s="33">
        <v>5.0</v>
      </c>
      <c r="H1223" s="33">
        <v>2.632</v>
      </c>
    </row>
    <row r="1224">
      <c r="A1224" s="31" t="s">
        <v>1506</v>
      </c>
      <c r="B1224" s="32">
        <v>42191.0</v>
      </c>
      <c r="C1224" s="31" t="s">
        <v>1507</v>
      </c>
      <c r="D1224" s="31" t="s">
        <v>47</v>
      </c>
      <c r="E1224" s="31" t="s">
        <v>45</v>
      </c>
      <c r="F1224" s="33">
        <v>301.96</v>
      </c>
      <c r="G1224" s="33">
        <v>2.0</v>
      </c>
      <c r="H1224" s="33">
        <v>60.392</v>
      </c>
    </row>
    <row r="1225">
      <c r="A1225" s="31" t="s">
        <v>1508</v>
      </c>
      <c r="B1225" s="32">
        <v>42322.0</v>
      </c>
      <c r="C1225" s="31" t="s">
        <v>1503</v>
      </c>
      <c r="D1225" s="31" t="s">
        <v>38</v>
      </c>
      <c r="E1225" s="31" t="s">
        <v>59</v>
      </c>
      <c r="F1225" s="33">
        <v>33.96</v>
      </c>
      <c r="G1225" s="33">
        <v>2.0</v>
      </c>
      <c r="H1225" s="33">
        <v>16.98</v>
      </c>
    </row>
    <row r="1226">
      <c r="A1226" s="31" t="s">
        <v>1509</v>
      </c>
      <c r="B1226" s="32">
        <v>42272.0</v>
      </c>
      <c r="C1226" s="31" t="s">
        <v>1510</v>
      </c>
      <c r="D1226" s="31" t="s">
        <v>11</v>
      </c>
      <c r="E1226" s="31" t="s">
        <v>28</v>
      </c>
      <c r="F1226" s="33">
        <v>17.48</v>
      </c>
      <c r="G1226" s="33">
        <v>2.0</v>
      </c>
      <c r="H1226" s="33">
        <v>8.2156</v>
      </c>
    </row>
    <row r="1227">
      <c r="A1227" s="31" t="s">
        <v>1511</v>
      </c>
      <c r="B1227" s="32">
        <v>42261.0</v>
      </c>
      <c r="C1227" s="31" t="s">
        <v>1136</v>
      </c>
      <c r="D1227" s="31" t="s">
        <v>11</v>
      </c>
      <c r="E1227" s="31" t="s">
        <v>59</v>
      </c>
      <c r="F1227" s="33">
        <v>269.49</v>
      </c>
      <c r="G1227" s="33">
        <v>3.0</v>
      </c>
      <c r="H1227" s="33">
        <v>5.3898</v>
      </c>
    </row>
    <row r="1228">
      <c r="A1228" s="31" t="s">
        <v>1512</v>
      </c>
      <c r="B1228" s="32">
        <v>42196.0</v>
      </c>
      <c r="C1228" s="31" t="s">
        <v>1513</v>
      </c>
      <c r="D1228" s="31" t="s">
        <v>11</v>
      </c>
      <c r="E1228" s="31" t="s">
        <v>28</v>
      </c>
      <c r="F1228" s="33">
        <v>29.97</v>
      </c>
      <c r="G1228" s="33">
        <v>3.0</v>
      </c>
      <c r="H1228" s="33">
        <v>13.4865</v>
      </c>
    </row>
    <row r="1229">
      <c r="A1229" s="31" t="s">
        <v>1514</v>
      </c>
      <c r="B1229" s="32">
        <v>42006.0</v>
      </c>
      <c r="C1229" s="31" t="s">
        <v>1271</v>
      </c>
      <c r="D1229" s="31" t="s">
        <v>38</v>
      </c>
      <c r="E1229" s="31" t="s">
        <v>45</v>
      </c>
      <c r="F1229" s="33">
        <v>85.52</v>
      </c>
      <c r="G1229" s="33">
        <v>2.0</v>
      </c>
      <c r="H1229" s="33">
        <v>22.2352</v>
      </c>
    </row>
    <row r="1230">
      <c r="A1230" s="31" t="s">
        <v>1515</v>
      </c>
      <c r="B1230" s="32">
        <v>42286.0</v>
      </c>
      <c r="C1230" s="31" t="s">
        <v>1516</v>
      </c>
      <c r="D1230" s="31" t="s">
        <v>11</v>
      </c>
      <c r="E1230" s="31" t="s">
        <v>45</v>
      </c>
      <c r="F1230" s="33">
        <v>631.96</v>
      </c>
      <c r="G1230" s="33">
        <v>4.0</v>
      </c>
      <c r="H1230" s="33">
        <v>303.3408</v>
      </c>
    </row>
    <row r="1231">
      <c r="A1231" s="31" t="s">
        <v>1517</v>
      </c>
      <c r="B1231" s="32">
        <v>42273.0</v>
      </c>
      <c r="C1231" s="31" t="s">
        <v>1518</v>
      </c>
      <c r="D1231" s="31" t="s">
        <v>47</v>
      </c>
      <c r="E1231" s="31" t="s">
        <v>28</v>
      </c>
      <c r="F1231" s="33">
        <v>64.17</v>
      </c>
      <c r="G1231" s="33">
        <v>3.0</v>
      </c>
      <c r="H1231" s="33">
        <v>18.6093</v>
      </c>
    </row>
    <row r="1232">
      <c r="A1232" s="31" t="s">
        <v>1519</v>
      </c>
      <c r="B1232" s="32">
        <v>42187.0</v>
      </c>
      <c r="C1232" s="31" t="s">
        <v>1520</v>
      </c>
      <c r="D1232" s="31" t="s">
        <v>11</v>
      </c>
      <c r="E1232" s="31" t="s">
        <v>31</v>
      </c>
      <c r="F1232" s="33">
        <v>32.784</v>
      </c>
      <c r="G1232" s="33">
        <v>4.0</v>
      </c>
      <c r="H1232" s="33">
        <v>-85.2384</v>
      </c>
    </row>
    <row r="1233">
      <c r="A1233" s="31" t="s">
        <v>1521</v>
      </c>
      <c r="B1233" s="32">
        <v>42112.0</v>
      </c>
      <c r="C1233" s="31" t="s">
        <v>1522</v>
      </c>
      <c r="D1233" s="31" t="s">
        <v>11</v>
      </c>
      <c r="E1233" s="31" t="s">
        <v>59</v>
      </c>
      <c r="F1233" s="33">
        <v>106.5</v>
      </c>
      <c r="G1233" s="33">
        <v>6.0</v>
      </c>
      <c r="H1233" s="33">
        <v>41.535</v>
      </c>
    </row>
    <row r="1234">
      <c r="A1234" s="31" t="s">
        <v>1523</v>
      </c>
      <c r="B1234" s="32">
        <v>42100.0</v>
      </c>
      <c r="C1234" s="31" t="s">
        <v>1524</v>
      </c>
      <c r="D1234" s="31" t="s">
        <v>11</v>
      </c>
      <c r="E1234" s="31" t="s">
        <v>31</v>
      </c>
      <c r="F1234" s="33">
        <v>42.048</v>
      </c>
      <c r="G1234" s="33">
        <v>9.0</v>
      </c>
      <c r="H1234" s="33">
        <v>5.256</v>
      </c>
    </row>
    <row r="1235">
      <c r="A1235" s="31" t="s">
        <v>1525</v>
      </c>
      <c r="B1235" s="32">
        <v>42253.0</v>
      </c>
      <c r="C1235" s="31" t="s">
        <v>1526</v>
      </c>
      <c r="D1235" s="31" t="s">
        <v>38</v>
      </c>
      <c r="E1235" s="31" t="s">
        <v>28</v>
      </c>
      <c r="F1235" s="33">
        <v>46.32</v>
      </c>
      <c r="G1235" s="33">
        <v>4.0</v>
      </c>
      <c r="H1235" s="33">
        <v>18.0648</v>
      </c>
    </row>
    <row r="1236">
      <c r="A1236" s="31" t="s">
        <v>1527</v>
      </c>
      <c r="B1236" s="32">
        <v>42031.0</v>
      </c>
      <c r="C1236" s="31" t="s">
        <v>1528</v>
      </c>
      <c r="D1236" s="31" t="s">
        <v>11</v>
      </c>
      <c r="E1236" s="31" t="s">
        <v>45</v>
      </c>
      <c r="F1236" s="33">
        <v>181.986</v>
      </c>
      <c r="G1236" s="33">
        <v>2.0</v>
      </c>
      <c r="H1236" s="33">
        <v>-54.5958</v>
      </c>
    </row>
    <row r="1237">
      <c r="A1237" s="31" t="s">
        <v>1529</v>
      </c>
      <c r="B1237" s="32">
        <v>42201.0</v>
      </c>
      <c r="C1237" s="31" t="s">
        <v>1505</v>
      </c>
      <c r="D1237" s="31" t="s">
        <v>38</v>
      </c>
      <c r="E1237" s="31" t="s">
        <v>28</v>
      </c>
      <c r="F1237" s="33">
        <v>1348.704</v>
      </c>
      <c r="G1237" s="33">
        <v>6.0</v>
      </c>
      <c r="H1237" s="33">
        <v>-219.1644</v>
      </c>
    </row>
    <row r="1238">
      <c r="A1238" s="31" t="s">
        <v>1530</v>
      </c>
      <c r="B1238" s="32">
        <v>42232.0</v>
      </c>
      <c r="C1238" s="31" t="s">
        <v>1531</v>
      </c>
      <c r="D1238" s="31" t="s">
        <v>11</v>
      </c>
      <c r="E1238" s="31" t="s">
        <v>28</v>
      </c>
      <c r="F1238" s="33">
        <v>2.304</v>
      </c>
      <c r="G1238" s="33">
        <v>1.0</v>
      </c>
      <c r="H1238" s="33">
        <v>0.2592</v>
      </c>
    </row>
    <row r="1239">
      <c r="A1239" s="31" t="s">
        <v>1532</v>
      </c>
      <c r="B1239" s="32">
        <v>42273.0</v>
      </c>
      <c r="C1239" s="31" t="s">
        <v>1288</v>
      </c>
      <c r="D1239" s="31" t="s">
        <v>11</v>
      </c>
      <c r="E1239" s="31" t="s">
        <v>45</v>
      </c>
      <c r="F1239" s="33">
        <v>50.0</v>
      </c>
      <c r="G1239" s="33">
        <v>2.0</v>
      </c>
      <c r="H1239" s="33">
        <v>12.0</v>
      </c>
    </row>
    <row r="1240">
      <c r="A1240" s="31" t="s">
        <v>1533</v>
      </c>
      <c r="B1240" s="32">
        <v>42087.0</v>
      </c>
      <c r="C1240" s="31" t="s">
        <v>1534</v>
      </c>
      <c r="D1240" s="31" t="s">
        <v>38</v>
      </c>
      <c r="E1240" s="31" t="s">
        <v>59</v>
      </c>
      <c r="F1240" s="33">
        <v>6.992</v>
      </c>
      <c r="G1240" s="33">
        <v>2.0</v>
      </c>
      <c r="H1240" s="33">
        <v>0.5244</v>
      </c>
    </row>
    <row r="1241">
      <c r="A1241" s="31" t="s">
        <v>1535</v>
      </c>
      <c r="B1241" s="32">
        <v>42155.0</v>
      </c>
      <c r="C1241" s="31" t="s">
        <v>1536</v>
      </c>
      <c r="D1241" s="31" t="s">
        <v>11</v>
      </c>
      <c r="E1241" s="31" t="s">
        <v>28</v>
      </c>
      <c r="F1241" s="33">
        <v>1406.86</v>
      </c>
      <c r="G1241" s="33">
        <v>7.0</v>
      </c>
      <c r="H1241" s="33">
        <v>140.686</v>
      </c>
    </row>
    <row r="1242">
      <c r="A1242" s="31" t="s">
        <v>1537</v>
      </c>
      <c r="B1242" s="32">
        <v>42363.0</v>
      </c>
      <c r="C1242" s="31" t="s">
        <v>1538</v>
      </c>
      <c r="D1242" s="31" t="s">
        <v>11</v>
      </c>
      <c r="E1242" s="31" t="s">
        <v>59</v>
      </c>
      <c r="F1242" s="33">
        <v>9.216</v>
      </c>
      <c r="G1242" s="33">
        <v>4.0</v>
      </c>
      <c r="H1242" s="33">
        <v>3.3408</v>
      </c>
    </row>
    <row r="1243">
      <c r="A1243" s="31" t="s">
        <v>1539</v>
      </c>
      <c r="B1243" s="32">
        <v>42080.0</v>
      </c>
      <c r="C1243" s="31" t="s">
        <v>1540</v>
      </c>
      <c r="D1243" s="31" t="s">
        <v>38</v>
      </c>
      <c r="E1243" s="31" t="s">
        <v>45</v>
      </c>
      <c r="F1243" s="33">
        <v>15.02</v>
      </c>
      <c r="G1243" s="33">
        <v>1.0</v>
      </c>
      <c r="H1243" s="33">
        <v>2.7036</v>
      </c>
    </row>
    <row r="1244">
      <c r="A1244" s="31" t="s">
        <v>1541</v>
      </c>
      <c r="B1244" s="32">
        <v>42311.0</v>
      </c>
      <c r="C1244" s="31" t="s">
        <v>1542</v>
      </c>
      <c r="D1244" s="31" t="s">
        <v>38</v>
      </c>
      <c r="E1244" s="31" t="s">
        <v>31</v>
      </c>
      <c r="F1244" s="33">
        <v>6.608</v>
      </c>
      <c r="G1244" s="33">
        <v>2.0</v>
      </c>
      <c r="H1244" s="33">
        <v>2.1476</v>
      </c>
    </row>
    <row r="1245">
      <c r="A1245" s="31" t="s">
        <v>1543</v>
      </c>
      <c r="B1245" s="32">
        <v>42257.0</v>
      </c>
      <c r="C1245" s="31" t="s">
        <v>1544</v>
      </c>
      <c r="D1245" s="31" t="s">
        <v>11</v>
      </c>
      <c r="E1245" s="31" t="s">
        <v>31</v>
      </c>
      <c r="F1245" s="33">
        <v>14.94</v>
      </c>
      <c r="G1245" s="33">
        <v>3.0</v>
      </c>
      <c r="H1245" s="33">
        <v>7.0218</v>
      </c>
    </row>
    <row r="1246">
      <c r="A1246" s="31" t="s">
        <v>1545</v>
      </c>
      <c r="B1246" s="32">
        <v>42190.0</v>
      </c>
      <c r="C1246" s="31" t="s">
        <v>1546</v>
      </c>
      <c r="D1246" s="31" t="s">
        <v>38</v>
      </c>
      <c r="E1246" s="31" t="s">
        <v>59</v>
      </c>
      <c r="F1246" s="33">
        <v>4.928</v>
      </c>
      <c r="G1246" s="33">
        <v>2.0</v>
      </c>
      <c r="H1246" s="33">
        <v>0.7392</v>
      </c>
    </row>
    <row r="1247">
      <c r="A1247" s="31" t="s">
        <v>1547</v>
      </c>
      <c r="B1247" s="32">
        <v>42231.0</v>
      </c>
      <c r="C1247" s="31" t="s">
        <v>1548</v>
      </c>
      <c r="D1247" s="31" t="s">
        <v>38</v>
      </c>
      <c r="E1247" s="31" t="s">
        <v>28</v>
      </c>
      <c r="F1247" s="33">
        <v>323.1</v>
      </c>
      <c r="G1247" s="33">
        <v>2.0</v>
      </c>
      <c r="H1247" s="33">
        <v>61.389</v>
      </c>
    </row>
    <row r="1248">
      <c r="A1248" s="31" t="s">
        <v>1549</v>
      </c>
      <c r="B1248" s="32">
        <v>42055.0</v>
      </c>
      <c r="C1248" s="31" t="s">
        <v>1149</v>
      </c>
      <c r="D1248" s="31" t="s">
        <v>11</v>
      </c>
      <c r="E1248" s="31" t="s">
        <v>59</v>
      </c>
      <c r="F1248" s="33">
        <v>29.99</v>
      </c>
      <c r="G1248" s="33">
        <v>1.0</v>
      </c>
      <c r="H1248" s="33">
        <v>2.999</v>
      </c>
    </row>
    <row r="1249">
      <c r="A1249" s="31" t="s">
        <v>1550</v>
      </c>
      <c r="B1249" s="32">
        <v>42362.0</v>
      </c>
      <c r="C1249" s="31" t="s">
        <v>1540</v>
      </c>
      <c r="D1249" s="31" t="s">
        <v>38</v>
      </c>
      <c r="E1249" s="31" t="s">
        <v>28</v>
      </c>
      <c r="F1249" s="33">
        <v>883.84</v>
      </c>
      <c r="G1249" s="33">
        <v>4.0</v>
      </c>
      <c r="H1249" s="33">
        <v>99.432</v>
      </c>
    </row>
    <row r="1250">
      <c r="A1250" s="31" t="s">
        <v>1551</v>
      </c>
      <c r="B1250" s="32">
        <v>42241.0</v>
      </c>
      <c r="C1250" s="31" t="s">
        <v>1552</v>
      </c>
      <c r="D1250" s="31" t="s">
        <v>47</v>
      </c>
      <c r="E1250" s="31" t="s">
        <v>28</v>
      </c>
      <c r="F1250" s="33">
        <v>40.784</v>
      </c>
      <c r="G1250" s="33">
        <v>1.0</v>
      </c>
      <c r="H1250" s="33">
        <v>4.5882</v>
      </c>
    </row>
    <row r="1251">
      <c r="A1251" s="31" t="s">
        <v>1553</v>
      </c>
      <c r="B1251" s="32">
        <v>42320.0</v>
      </c>
      <c r="C1251" s="31" t="s">
        <v>1554</v>
      </c>
      <c r="D1251" s="31" t="s">
        <v>38</v>
      </c>
      <c r="E1251" s="31" t="s">
        <v>28</v>
      </c>
      <c r="F1251" s="33">
        <v>15.7</v>
      </c>
      <c r="G1251" s="33">
        <v>5.0</v>
      </c>
      <c r="H1251" s="33">
        <v>7.065</v>
      </c>
    </row>
    <row r="1252">
      <c r="A1252" s="31" t="s">
        <v>1555</v>
      </c>
      <c r="B1252" s="32">
        <v>42034.0</v>
      </c>
      <c r="C1252" s="31" t="s">
        <v>1156</v>
      </c>
      <c r="D1252" s="31" t="s">
        <v>11</v>
      </c>
      <c r="E1252" s="31" t="s">
        <v>28</v>
      </c>
      <c r="F1252" s="33">
        <v>227.36</v>
      </c>
      <c r="G1252" s="33">
        <v>7.0</v>
      </c>
      <c r="H1252" s="33">
        <v>81.8496</v>
      </c>
    </row>
    <row r="1253">
      <c r="A1253" s="31" t="s">
        <v>1556</v>
      </c>
      <c r="B1253" s="32">
        <v>42349.0</v>
      </c>
      <c r="C1253" s="31" t="s">
        <v>1328</v>
      </c>
      <c r="D1253" s="31" t="s">
        <v>11</v>
      </c>
      <c r="E1253" s="31" t="s">
        <v>59</v>
      </c>
      <c r="F1253" s="33">
        <v>12.828</v>
      </c>
      <c r="G1253" s="33">
        <v>2.0</v>
      </c>
      <c r="H1253" s="33">
        <v>-8.9796</v>
      </c>
    </row>
    <row r="1254">
      <c r="A1254" s="31" t="s">
        <v>1557</v>
      </c>
      <c r="B1254" s="32">
        <v>42339.0</v>
      </c>
      <c r="C1254" s="31" t="s">
        <v>1461</v>
      </c>
      <c r="D1254" s="31" t="s">
        <v>47</v>
      </c>
      <c r="E1254" s="31" t="s">
        <v>28</v>
      </c>
      <c r="F1254" s="33">
        <v>13.9</v>
      </c>
      <c r="G1254" s="33">
        <v>5.0</v>
      </c>
      <c r="H1254" s="33">
        <v>5.56</v>
      </c>
    </row>
    <row r="1255">
      <c r="A1255" s="31" t="s">
        <v>1558</v>
      </c>
      <c r="B1255" s="32">
        <v>42056.0</v>
      </c>
      <c r="C1255" s="31" t="s">
        <v>1559</v>
      </c>
      <c r="D1255" s="31" t="s">
        <v>11</v>
      </c>
      <c r="E1255" s="31" t="s">
        <v>28</v>
      </c>
      <c r="F1255" s="33">
        <v>49.12</v>
      </c>
      <c r="G1255" s="33">
        <v>4.0</v>
      </c>
      <c r="H1255" s="33">
        <v>23.0864</v>
      </c>
    </row>
    <row r="1256">
      <c r="A1256" s="31" t="s">
        <v>1560</v>
      </c>
      <c r="B1256" s="32">
        <v>42321.0</v>
      </c>
      <c r="C1256" s="31" t="s">
        <v>1115</v>
      </c>
      <c r="D1256" s="31" t="s">
        <v>11</v>
      </c>
      <c r="E1256" s="31" t="s">
        <v>45</v>
      </c>
      <c r="F1256" s="33">
        <v>377.97</v>
      </c>
      <c r="G1256" s="33">
        <v>3.0</v>
      </c>
      <c r="H1256" s="33">
        <v>94.4925</v>
      </c>
    </row>
    <row r="1257">
      <c r="A1257" s="31" t="s">
        <v>1561</v>
      </c>
      <c r="B1257" s="32">
        <v>42175.0</v>
      </c>
      <c r="C1257" s="31" t="s">
        <v>1562</v>
      </c>
      <c r="D1257" s="31" t="s">
        <v>38</v>
      </c>
      <c r="E1257" s="31" t="s">
        <v>28</v>
      </c>
      <c r="F1257" s="33">
        <v>257.64</v>
      </c>
      <c r="G1257" s="33">
        <v>6.0</v>
      </c>
      <c r="H1257" s="33">
        <v>100.4796</v>
      </c>
    </row>
    <row r="1258">
      <c r="A1258" s="31" t="s">
        <v>1563</v>
      </c>
      <c r="B1258" s="32">
        <v>42330.0</v>
      </c>
      <c r="C1258" s="31" t="s">
        <v>1564</v>
      </c>
      <c r="D1258" s="31" t="s">
        <v>47</v>
      </c>
      <c r="E1258" s="31" t="s">
        <v>31</v>
      </c>
      <c r="F1258" s="33">
        <v>27.168</v>
      </c>
      <c r="G1258" s="33">
        <v>4.0</v>
      </c>
      <c r="H1258" s="33">
        <v>-1.3584</v>
      </c>
    </row>
    <row r="1259">
      <c r="A1259" s="31" t="s">
        <v>1565</v>
      </c>
      <c r="B1259" s="32">
        <v>42342.0</v>
      </c>
      <c r="C1259" s="31" t="s">
        <v>1566</v>
      </c>
      <c r="D1259" s="31" t="s">
        <v>11</v>
      </c>
      <c r="E1259" s="31" t="s">
        <v>59</v>
      </c>
      <c r="F1259" s="33">
        <v>8.226</v>
      </c>
      <c r="G1259" s="33">
        <v>3.0</v>
      </c>
      <c r="H1259" s="33">
        <v>-6.0324</v>
      </c>
    </row>
    <row r="1260">
      <c r="A1260" s="31" t="s">
        <v>1567</v>
      </c>
      <c r="B1260" s="32">
        <v>42111.0</v>
      </c>
      <c r="C1260" s="31" t="s">
        <v>1568</v>
      </c>
      <c r="D1260" s="31" t="s">
        <v>11</v>
      </c>
      <c r="E1260" s="31" t="s">
        <v>28</v>
      </c>
      <c r="F1260" s="33">
        <v>5.56</v>
      </c>
      <c r="G1260" s="33">
        <v>2.0</v>
      </c>
      <c r="H1260" s="33">
        <v>2.224</v>
      </c>
    </row>
    <row r="1261">
      <c r="A1261" s="31" t="s">
        <v>1569</v>
      </c>
      <c r="B1261" s="32">
        <v>42096.0</v>
      </c>
      <c r="C1261" s="31" t="s">
        <v>1570</v>
      </c>
      <c r="D1261" s="31" t="s">
        <v>11</v>
      </c>
      <c r="E1261" s="31" t="s">
        <v>31</v>
      </c>
      <c r="F1261" s="33">
        <v>32.192</v>
      </c>
      <c r="G1261" s="33">
        <v>2.0</v>
      </c>
      <c r="H1261" s="33">
        <v>-80.48</v>
      </c>
    </row>
    <row r="1262">
      <c r="A1262" s="31" t="s">
        <v>1571</v>
      </c>
      <c r="B1262" s="32">
        <v>42359.0</v>
      </c>
      <c r="C1262" s="31" t="s">
        <v>1572</v>
      </c>
      <c r="D1262" s="31" t="s">
        <v>38</v>
      </c>
      <c r="E1262" s="31" t="s">
        <v>28</v>
      </c>
      <c r="F1262" s="33">
        <v>60.984</v>
      </c>
      <c r="G1262" s="33">
        <v>7.0</v>
      </c>
      <c r="H1262" s="33">
        <v>4.5738</v>
      </c>
    </row>
    <row r="1263">
      <c r="A1263" s="31" t="s">
        <v>1573</v>
      </c>
      <c r="B1263" s="32">
        <v>42202.0</v>
      </c>
      <c r="C1263" s="31" t="s">
        <v>1574</v>
      </c>
      <c r="D1263" s="31" t="s">
        <v>11</v>
      </c>
      <c r="E1263" s="31" t="s">
        <v>28</v>
      </c>
      <c r="F1263" s="33">
        <v>195.466</v>
      </c>
      <c r="G1263" s="33">
        <v>2.0</v>
      </c>
      <c r="H1263" s="33">
        <v>-13.7976</v>
      </c>
    </row>
    <row r="1264">
      <c r="A1264" s="31" t="s">
        <v>1575</v>
      </c>
      <c r="B1264" s="32">
        <v>42268.0</v>
      </c>
      <c r="C1264" s="31" t="s">
        <v>1576</v>
      </c>
      <c r="D1264" s="31" t="s">
        <v>47</v>
      </c>
      <c r="E1264" s="31" t="s">
        <v>28</v>
      </c>
      <c r="F1264" s="33">
        <v>601.536</v>
      </c>
      <c r="G1264" s="33">
        <v>4.0</v>
      </c>
      <c r="H1264" s="33">
        <v>0.0</v>
      </c>
    </row>
    <row r="1265">
      <c r="A1265" s="31" t="s">
        <v>1577</v>
      </c>
      <c r="B1265" s="32">
        <v>42309.0</v>
      </c>
      <c r="C1265" s="31" t="s">
        <v>1578</v>
      </c>
      <c r="D1265" s="31" t="s">
        <v>11</v>
      </c>
      <c r="E1265" s="31" t="s">
        <v>28</v>
      </c>
      <c r="F1265" s="33">
        <v>7.88</v>
      </c>
      <c r="G1265" s="33">
        <v>1.0</v>
      </c>
      <c r="H1265" s="33">
        <v>1.773</v>
      </c>
    </row>
    <row r="1266">
      <c r="A1266" s="31" t="s">
        <v>1579</v>
      </c>
      <c r="B1266" s="32">
        <v>42136.0</v>
      </c>
      <c r="C1266" s="31" t="s">
        <v>1580</v>
      </c>
      <c r="D1266" s="31" t="s">
        <v>11</v>
      </c>
      <c r="E1266" s="31" t="s">
        <v>28</v>
      </c>
      <c r="F1266" s="33">
        <v>12.84</v>
      </c>
      <c r="G1266" s="33">
        <v>3.0</v>
      </c>
      <c r="H1266" s="33">
        <v>5.778</v>
      </c>
    </row>
    <row r="1267">
      <c r="A1267" s="31" t="s">
        <v>1581</v>
      </c>
      <c r="B1267" s="32">
        <v>42254.0</v>
      </c>
      <c r="C1267" s="31" t="s">
        <v>1156</v>
      </c>
      <c r="D1267" s="31" t="s">
        <v>11</v>
      </c>
      <c r="E1267" s="31" t="s">
        <v>31</v>
      </c>
      <c r="F1267" s="33">
        <v>47.516</v>
      </c>
      <c r="G1267" s="33">
        <v>2.0</v>
      </c>
      <c r="H1267" s="33">
        <v>-2.0364</v>
      </c>
    </row>
    <row r="1268">
      <c r="A1268" s="31" t="s">
        <v>1582</v>
      </c>
      <c r="B1268" s="32">
        <v>42210.0</v>
      </c>
      <c r="C1268" s="31" t="s">
        <v>1583</v>
      </c>
      <c r="D1268" s="31" t="s">
        <v>11</v>
      </c>
      <c r="E1268" s="31" t="s">
        <v>28</v>
      </c>
      <c r="F1268" s="33">
        <v>9.42</v>
      </c>
      <c r="G1268" s="33">
        <v>2.0</v>
      </c>
      <c r="H1268" s="33">
        <v>0.471</v>
      </c>
    </row>
    <row r="1269">
      <c r="A1269" s="31" t="s">
        <v>1584</v>
      </c>
      <c r="B1269" s="32">
        <v>42324.0</v>
      </c>
      <c r="C1269" s="31" t="s">
        <v>1585</v>
      </c>
      <c r="D1269" s="31" t="s">
        <v>47</v>
      </c>
      <c r="E1269" s="31" t="s">
        <v>31</v>
      </c>
      <c r="F1269" s="33">
        <v>179.82</v>
      </c>
      <c r="G1269" s="33">
        <v>9.0</v>
      </c>
      <c r="H1269" s="33">
        <v>84.5154</v>
      </c>
    </row>
    <row r="1270">
      <c r="A1270" s="31" t="s">
        <v>1586</v>
      </c>
      <c r="B1270" s="32">
        <v>42248.0</v>
      </c>
      <c r="C1270" s="31" t="s">
        <v>1587</v>
      </c>
      <c r="D1270" s="31" t="s">
        <v>47</v>
      </c>
      <c r="E1270" s="31" t="s">
        <v>45</v>
      </c>
      <c r="F1270" s="33">
        <v>114.6</v>
      </c>
      <c r="G1270" s="33">
        <v>5.0</v>
      </c>
      <c r="H1270" s="33">
        <v>51.57</v>
      </c>
    </row>
    <row r="1271">
      <c r="A1271" s="31" t="s">
        <v>1588</v>
      </c>
      <c r="B1271" s="32">
        <v>42250.0</v>
      </c>
      <c r="C1271" s="31" t="s">
        <v>1311</v>
      </c>
      <c r="D1271" s="31" t="s">
        <v>38</v>
      </c>
      <c r="E1271" s="31" t="s">
        <v>45</v>
      </c>
      <c r="F1271" s="33">
        <v>120.33</v>
      </c>
      <c r="G1271" s="33">
        <v>1.0</v>
      </c>
      <c r="H1271" s="33">
        <v>31.2858</v>
      </c>
    </row>
    <row r="1272">
      <c r="A1272" s="31" t="s">
        <v>1589</v>
      </c>
      <c r="B1272" s="32">
        <v>42120.0</v>
      </c>
      <c r="C1272" s="31" t="s">
        <v>1590</v>
      </c>
      <c r="D1272" s="31" t="s">
        <v>11</v>
      </c>
      <c r="E1272" s="31" t="s">
        <v>31</v>
      </c>
      <c r="F1272" s="33">
        <v>408.422</v>
      </c>
      <c r="G1272" s="33">
        <v>2.0</v>
      </c>
      <c r="H1272" s="33">
        <v>-5.8346</v>
      </c>
    </row>
    <row r="1273">
      <c r="A1273" s="31" t="s">
        <v>1591</v>
      </c>
      <c r="B1273" s="32">
        <v>42259.0</v>
      </c>
      <c r="C1273" s="31" t="s">
        <v>1592</v>
      </c>
      <c r="D1273" s="31" t="s">
        <v>11</v>
      </c>
      <c r="E1273" s="31" t="s">
        <v>45</v>
      </c>
      <c r="F1273" s="33">
        <v>479.984</v>
      </c>
      <c r="G1273" s="33">
        <v>2.0</v>
      </c>
      <c r="H1273" s="33">
        <v>59.998</v>
      </c>
    </row>
    <row r="1274">
      <c r="A1274" s="31" t="s">
        <v>1593</v>
      </c>
      <c r="B1274" s="32">
        <v>42313.0</v>
      </c>
      <c r="C1274" s="31" t="s">
        <v>1099</v>
      </c>
      <c r="D1274" s="31" t="s">
        <v>11</v>
      </c>
      <c r="E1274" s="31" t="s">
        <v>59</v>
      </c>
      <c r="F1274" s="33">
        <v>387.136</v>
      </c>
      <c r="G1274" s="33">
        <v>4.0</v>
      </c>
      <c r="H1274" s="33">
        <v>24.196</v>
      </c>
    </row>
    <row r="1275">
      <c r="A1275" s="31" t="s">
        <v>1594</v>
      </c>
      <c r="B1275" s="32">
        <v>42289.0</v>
      </c>
      <c r="C1275" s="31" t="s">
        <v>1216</v>
      </c>
      <c r="D1275" s="31" t="s">
        <v>11</v>
      </c>
      <c r="E1275" s="31" t="s">
        <v>31</v>
      </c>
      <c r="F1275" s="33">
        <v>135.72</v>
      </c>
      <c r="G1275" s="33">
        <v>3.0</v>
      </c>
      <c r="H1275" s="33">
        <v>35.2872</v>
      </c>
    </row>
    <row r="1276">
      <c r="A1276" s="31" t="s">
        <v>1595</v>
      </c>
      <c r="B1276" s="32">
        <v>42338.0</v>
      </c>
      <c r="C1276" s="31" t="s">
        <v>1596</v>
      </c>
      <c r="D1276" s="31" t="s">
        <v>47</v>
      </c>
      <c r="E1276" s="31" t="s">
        <v>31</v>
      </c>
      <c r="F1276" s="33">
        <v>3.882</v>
      </c>
      <c r="G1276" s="33">
        <v>3.0</v>
      </c>
      <c r="H1276" s="33">
        <v>-5.823</v>
      </c>
    </row>
    <row r="1277">
      <c r="A1277" s="31" t="s">
        <v>1597</v>
      </c>
      <c r="B1277" s="32">
        <v>42224.0</v>
      </c>
      <c r="C1277" s="31" t="s">
        <v>1524</v>
      </c>
      <c r="D1277" s="31" t="s">
        <v>11</v>
      </c>
      <c r="E1277" s="31" t="s">
        <v>28</v>
      </c>
      <c r="F1277" s="33">
        <v>6.608</v>
      </c>
      <c r="G1277" s="33">
        <v>2.0</v>
      </c>
      <c r="H1277" s="33">
        <v>2.2302</v>
      </c>
    </row>
    <row r="1278">
      <c r="A1278" s="31" t="s">
        <v>1598</v>
      </c>
      <c r="B1278" s="32">
        <v>42362.0</v>
      </c>
      <c r="C1278" s="31" t="s">
        <v>1599</v>
      </c>
      <c r="D1278" s="31" t="s">
        <v>11</v>
      </c>
      <c r="E1278" s="31" t="s">
        <v>28</v>
      </c>
      <c r="F1278" s="33">
        <v>19.936</v>
      </c>
      <c r="G1278" s="33">
        <v>4.0</v>
      </c>
      <c r="H1278" s="33">
        <v>7.2268</v>
      </c>
    </row>
    <row r="1279">
      <c r="A1279" s="31" t="s">
        <v>1600</v>
      </c>
      <c r="B1279" s="32">
        <v>42131.0</v>
      </c>
      <c r="C1279" s="31" t="s">
        <v>1601</v>
      </c>
      <c r="D1279" s="31" t="s">
        <v>11</v>
      </c>
      <c r="E1279" s="31" t="s">
        <v>31</v>
      </c>
      <c r="F1279" s="33">
        <v>244.006</v>
      </c>
      <c r="G1279" s="33">
        <v>2.0</v>
      </c>
      <c r="H1279" s="33">
        <v>-31.3722</v>
      </c>
    </row>
    <row r="1280">
      <c r="A1280" s="31" t="s">
        <v>1602</v>
      </c>
      <c r="B1280" s="32">
        <v>42167.0</v>
      </c>
      <c r="C1280" s="31" t="s">
        <v>1603</v>
      </c>
      <c r="D1280" s="31" t="s">
        <v>11</v>
      </c>
      <c r="E1280" s="31" t="s">
        <v>45</v>
      </c>
      <c r="F1280" s="33">
        <v>20.736</v>
      </c>
      <c r="G1280" s="33">
        <v>4.0</v>
      </c>
      <c r="H1280" s="33">
        <v>7.2576</v>
      </c>
    </row>
    <row r="1281">
      <c r="A1281" s="31" t="s">
        <v>1604</v>
      </c>
      <c r="B1281" s="32">
        <v>42190.0</v>
      </c>
      <c r="C1281" s="31" t="s">
        <v>1605</v>
      </c>
      <c r="D1281" s="31" t="s">
        <v>47</v>
      </c>
      <c r="E1281" s="31" t="s">
        <v>31</v>
      </c>
      <c r="F1281" s="33">
        <v>19.0</v>
      </c>
      <c r="G1281" s="33">
        <v>5.0</v>
      </c>
      <c r="H1281" s="33">
        <v>8.93</v>
      </c>
    </row>
    <row r="1282">
      <c r="A1282" s="31" t="s">
        <v>1606</v>
      </c>
      <c r="B1282" s="32">
        <v>42264.0</v>
      </c>
      <c r="C1282" s="31" t="s">
        <v>1607</v>
      </c>
      <c r="D1282" s="31" t="s">
        <v>47</v>
      </c>
      <c r="E1282" s="31" t="s">
        <v>45</v>
      </c>
      <c r="F1282" s="33">
        <v>344.22</v>
      </c>
      <c r="G1282" s="33">
        <v>2.0</v>
      </c>
      <c r="H1282" s="33">
        <v>-103.266</v>
      </c>
    </row>
    <row r="1283">
      <c r="A1283" s="31" t="s">
        <v>1608</v>
      </c>
      <c r="B1283" s="32">
        <v>42316.0</v>
      </c>
      <c r="C1283" s="31" t="s">
        <v>1609</v>
      </c>
      <c r="D1283" s="31" t="s">
        <v>11</v>
      </c>
      <c r="E1283" s="31" t="s">
        <v>28</v>
      </c>
      <c r="F1283" s="33">
        <v>5.04</v>
      </c>
      <c r="G1283" s="33">
        <v>3.0</v>
      </c>
      <c r="H1283" s="33">
        <v>0.2016</v>
      </c>
    </row>
    <row r="1284">
      <c r="A1284" s="31" t="s">
        <v>1610</v>
      </c>
      <c r="B1284" s="32">
        <v>42316.0</v>
      </c>
      <c r="C1284" s="31" t="s">
        <v>1611</v>
      </c>
      <c r="D1284" s="31" t="s">
        <v>11</v>
      </c>
      <c r="E1284" s="31" t="s">
        <v>45</v>
      </c>
      <c r="F1284" s="33">
        <v>52.272</v>
      </c>
      <c r="G1284" s="33">
        <v>11.0</v>
      </c>
      <c r="H1284" s="33">
        <v>17.6418</v>
      </c>
    </row>
    <row r="1285">
      <c r="A1285" s="31" t="s">
        <v>1612</v>
      </c>
      <c r="B1285" s="32">
        <v>42268.0</v>
      </c>
      <c r="C1285" s="31" t="s">
        <v>1613</v>
      </c>
      <c r="D1285" s="31" t="s">
        <v>38</v>
      </c>
      <c r="E1285" s="31" t="s">
        <v>31</v>
      </c>
      <c r="F1285" s="33">
        <v>194.32</v>
      </c>
      <c r="G1285" s="33">
        <v>4.0</v>
      </c>
      <c r="H1285" s="33">
        <v>31.0912</v>
      </c>
    </row>
    <row r="1286">
      <c r="A1286" s="31" t="s">
        <v>1614</v>
      </c>
      <c r="B1286" s="32">
        <v>42166.0</v>
      </c>
      <c r="C1286" s="31" t="s">
        <v>1140</v>
      </c>
      <c r="D1286" s="31" t="s">
        <v>11</v>
      </c>
      <c r="E1286" s="31" t="s">
        <v>59</v>
      </c>
      <c r="F1286" s="33">
        <v>53.7</v>
      </c>
      <c r="G1286" s="33">
        <v>6.0</v>
      </c>
      <c r="H1286" s="33">
        <v>10.203</v>
      </c>
    </row>
    <row r="1287">
      <c r="A1287" s="31" t="s">
        <v>1615</v>
      </c>
      <c r="B1287" s="32">
        <v>42124.0</v>
      </c>
      <c r="C1287" s="31" t="s">
        <v>1616</v>
      </c>
      <c r="D1287" s="31" t="s">
        <v>11</v>
      </c>
      <c r="E1287" s="31" t="s">
        <v>45</v>
      </c>
      <c r="F1287" s="33">
        <v>1022.97</v>
      </c>
      <c r="G1287" s="33">
        <v>5.0</v>
      </c>
      <c r="H1287" s="33">
        <v>-255.7425</v>
      </c>
    </row>
    <row r="1288">
      <c r="A1288" s="31" t="s">
        <v>1617</v>
      </c>
      <c r="B1288" s="32">
        <v>42244.0</v>
      </c>
      <c r="C1288" s="31" t="s">
        <v>1618</v>
      </c>
      <c r="D1288" s="31" t="s">
        <v>38</v>
      </c>
      <c r="E1288" s="31" t="s">
        <v>31</v>
      </c>
      <c r="F1288" s="33">
        <v>2799.96</v>
      </c>
      <c r="G1288" s="33">
        <v>5.0</v>
      </c>
      <c r="H1288" s="33">
        <v>874.9875</v>
      </c>
    </row>
    <row r="1289">
      <c r="A1289" s="31" t="s">
        <v>1619</v>
      </c>
      <c r="B1289" s="32">
        <v>42335.0</v>
      </c>
      <c r="C1289" s="31" t="s">
        <v>1494</v>
      </c>
      <c r="D1289" s="31" t="s">
        <v>38</v>
      </c>
      <c r="E1289" s="31" t="s">
        <v>45</v>
      </c>
      <c r="F1289" s="33">
        <v>83.97</v>
      </c>
      <c r="G1289" s="33">
        <v>3.0</v>
      </c>
      <c r="H1289" s="33">
        <v>23.5116</v>
      </c>
    </row>
    <row r="1290">
      <c r="A1290" s="31" t="s">
        <v>1620</v>
      </c>
      <c r="B1290" s="32">
        <v>42280.0</v>
      </c>
      <c r="C1290" s="31" t="s">
        <v>1621</v>
      </c>
      <c r="D1290" s="31" t="s">
        <v>11</v>
      </c>
      <c r="E1290" s="31" t="s">
        <v>28</v>
      </c>
      <c r="F1290" s="33">
        <v>120.666</v>
      </c>
      <c r="G1290" s="33">
        <v>2.0</v>
      </c>
      <c r="H1290" s="33">
        <v>18.4548</v>
      </c>
    </row>
    <row r="1291">
      <c r="A1291" s="31" t="s">
        <v>1622</v>
      </c>
      <c r="B1291" s="32">
        <v>42239.0</v>
      </c>
      <c r="C1291" s="31" t="s">
        <v>1623</v>
      </c>
      <c r="D1291" s="31" t="s">
        <v>11</v>
      </c>
      <c r="E1291" s="31" t="s">
        <v>31</v>
      </c>
      <c r="F1291" s="33">
        <v>31.68</v>
      </c>
      <c r="G1291" s="33">
        <v>4.0</v>
      </c>
      <c r="H1291" s="33">
        <v>2.772</v>
      </c>
    </row>
    <row r="1292">
      <c r="A1292" s="31" t="s">
        <v>1624</v>
      </c>
      <c r="B1292" s="32">
        <v>42166.0</v>
      </c>
      <c r="C1292" s="31" t="s">
        <v>1625</v>
      </c>
      <c r="D1292" s="31" t="s">
        <v>38</v>
      </c>
      <c r="E1292" s="31" t="s">
        <v>59</v>
      </c>
      <c r="F1292" s="33">
        <v>1123.92</v>
      </c>
      <c r="G1292" s="33">
        <v>5.0</v>
      </c>
      <c r="H1292" s="33">
        <v>-182.637</v>
      </c>
    </row>
    <row r="1293">
      <c r="A1293" s="31" t="s">
        <v>1626</v>
      </c>
      <c r="B1293" s="32">
        <v>42119.0</v>
      </c>
      <c r="C1293" s="31" t="s">
        <v>1212</v>
      </c>
      <c r="D1293" s="31" t="s">
        <v>11</v>
      </c>
      <c r="E1293" s="31" t="s">
        <v>45</v>
      </c>
      <c r="F1293" s="33">
        <v>206.43</v>
      </c>
      <c r="G1293" s="33">
        <v>3.0</v>
      </c>
      <c r="H1293" s="33">
        <v>90.8292</v>
      </c>
    </row>
    <row r="1294">
      <c r="A1294" s="31" t="s">
        <v>1627</v>
      </c>
      <c r="B1294" s="32">
        <v>42353.0</v>
      </c>
      <c r="C1294" s="31" t="s">
        <v>1628</v>
      </c>
      <c r="D1294" s="31" t="s">
        <v>11</v>
      </c>
      <c r="E1294" s="31" t="s">
        <v>45</v>
      </c>
      <c r="F1294" s="33">
        <v>2025.36</v>
      </c>
      <c r="G1294" s="33">
        <v>6.0</v>
      </c>
      <c r="H1294" s="33">
        <v>607.608</v>
      </c>
    </row>
    <row r="1295">
      <c r="A1295" s="31" t="s">
        <v>1629</v>
      </c>
      <c r="B1295" s="32">
        <v>42240.0</v>
      </c>
      <c r="C1295" s="31" t="s">
        <v>1505</v>
      </c>
      <c r="D1295" s="31" t="s">
        <v>38</v>
      </c>
      <c r="E1295" s="31" t="s">
        <v>45</v>
      </c>
      <c r="F1295" s="33">
        <v>284.364</v>
      </c>
      <c r="G1295" s="33">
        <v>2.0</v>
      </c>
      <c r="H1295" s="33">
        <v>-75.8304</v>
      </c>
    </row>
    <row r="1296">
      <c r="A1296" s="31" t="s">
        <v>1630</v>
      </c>
      <c r="B1296" s="32">
        <v>42365.0</v>
      </c>
      <c r="C1296" s="31" t="s">
        <v>1587</v>
      </c>
      <c r="D1296" s="31" t="s">
        <v>47</v>
      </c>
      <c r="E1296" s="31" t="s">
        <v>31</v>
      </c>
      <c r="F1296" s="33">
        <v>12.672</v>
      </c>
      <c r="G1296" s="33">
        <v>3.0</v>
      </c>
      <c r="H1296" s="33">
        <v>-3.168</v>
      </c>
    </row>
    <row r="1297">
      <c r="A1297" s="31" t="s">
        <v>1631</v>
      </c>
      <c r="B1297" s="32">
        <v>42195.0</v>
      </c>
      <c r="C1297" s="31" t="s">
        <v>1632</v>
      </c>
      <c r="D1297" s="31" t="s">
        <v>11</v>
      </c>
      <c r="E1297" s="31" t="s">
        <v>28</v>
      </c>
      <c r="F1297" s="33">
        <v>3.366</v>
      </c>
      <c r="G1297" s="33">
        <v>3.0</v>
      </c>
      <c r="H1297" s="33">
        <v>-2.244</v>
      </c>
    </row>
    <row r="1298">
      <c r="A1298" s="31" t="s">
        <v>1633</v>
      </c>
      <c r="B1298" s="32">
        <v>42279.0</v>
      </c>
      <c r="C1298" s="31" t="s">
        <v>1634</v>
      </c>
      <c r="D1298" s="31" t="s">
        <v>38</v>
      </c>
      <c r="E1298" s="31" t="s">
        <v>45</v>
      </c>
      <c r="F1298" s="33">
        <v>94.85</v>
      </c>
      <c r="G1298" s="33">
        <v>5.0</v>
      </c>
      <c r="H1298" s="33">
        <v>45.528</v>
      </c>
    </row>
    <row r="1299">
      <c r="A1299" s="31" t="s">
        <v>1635</v>
      </c>
      <c r="B1299" s="32">
        <v>42225.0</v>
      </c>
      <c r="C1299" s="31" t="s">
        <v>1636</v>
      </c>
      <c r="D1299" s="31" t="s">
        <v>38</v>
      </c>
      <c r="E1299" s="31" t="s">
        <v>59</v>
      </c>
      <c r="F1299" s="33">
        <v>4.608</v>
      </c>
      <c r="G1299" s="33">
        <v>2.0</v>
      </c>
      <c r="H1299" s="33">
        <v>1.6704</v>
      </c>
    </row>
    <row r="1300">
      <c r="A1300" s="31" t="s">
        <v>1637</v>
      </c>
      <c r="B1300" s="32">
        <v>42365.0</v>
      </c>
      <c r="C1300" s="31" t="s">
        <v>1638</v>
      </c>
      <c r="D1300" s="31" t="s">
        <v>38</v>
      </c>
      <c r="E1300" s="31" t="s">
        <v>28</v>
      </c>
      <c r="F1300" s="33">
        <v>7.92</v>
      </c>
      <c r="G1300" s="33">
        <v>8.0</v>
      </c>
      <c r="H1300" s="33">
        <v>3.4848</v>
      </c>
    </row>
    <row r="1301">
      <c r="A1301" s="31" t="s">
        <v>1639</v>
      </c>
      <c r="B1301" s="32">
        <v>42044.0</v>
      </c>
      <c r="C1301" s="31" t="s">
        <v>1640</v>
      </c>
      <c r="D1301" s="31" t="s">
        <v>11</v>
      </c>
      <c r="E1301" s="31" t="s">
        <v>28</v>
      </c>
      <c r="F1301" s="33">
        <v>203.92</v>
      </c>
      <c r="G1301" s="33">
        <v>5.0</v>
      </c>
      <c r="H1301" s="33">
        <v>22.941</v>
      </c>
    </row>
    <row r="1302">
      <c r="A1302" s="31" t="s">
        <v>1641</v>
      </c>
      <c r="B1302" s="32">
        <v>42351.0</v>
      </c>
      <c r="C1302" s="31" t="s">
        <v>1226</v>
      </c>
      <c r="D1302" s="31" t="s">
        <v>11</v>
      </c>
      <c r="E1302" s="31" t="s">
        <v>28</v>
      </c>
      <c r="F1302" s="33">
        <v>494.376</v>
      </c>
      <c r="G1302" s="33">
        <v>3.0</v>
      </c>
      <c r="H1302" s="33">
        <v>49.4376</v>
      </c>
    </row>
    <row r="1303">
      <c r="A1303" s="31" t="s">
        <v>1642</v>
      </c>
      <c r="B1303" s="32">
        <v>42147.0</v>
      </c>
      <c r="C1303" s="31" t="s">
        <v>1050</v>
      </c>
      <c r="D1303" s="31" t="s">
        <v>11</v>
      </c>
      <c r="E1303" s="31" t="s">
        <v>28</v>
      </c>
      <c r="F1303" s="33">
        <v>19.194</v>
      </c>
      <c r="G1303" s="33">
        <v>7.0</v>
      </c>
      <c r="H1303" s="33">
        <v>-12.796</v>
      </c>
    </row>
    <row r="1304">
      <c r="A1304" s="31" t="s">
        <v>1643</v>
      </c>
      <c r="B1304" s="32">
        <v>42313.0</v>
      </c>
      <c r="C1304" s="31" t="s">
        <v>1644</v>
      </c>
      <c r="D1304" s="31" t="s">
        <v>38</v>
      </c>
      <c r="E1304" s="31" t="s">
        <v>45</v>
      </c>
      <c r="F1304" s="33">
        <v>25.344</v>
      </c>
      <c r="G1304" s="33">
        <v>6.0</v>
      </c>
      <c r="H1304" s="33">
        <v>8.8704</v>
      </c>
    </row>
    <row r="1305">
      <c r="A1305" s="31" t="s">
        <v>1645</v>
      </c>
      <c r="B1305" s="32">
        <v>42258.0</v>
      </c>
      <c r="C1305" s="31" t="s">
        <v>1106</v>
      </c>
      <c r="D1305" s="31" t="s">
        <v>11</v>
      </c>
      <c r="E1305" s="31" t="s">
        <v>28</v>
      </c>
      <c r="F1305" s="33">
        <v>181.35</v>
      </c>
      <c r="G1305" s="33">
        <v>9.0</v>
      </c>
      <c r="H1305" s="33">
        <v>48.9645</v>
      </c>
    </row>
    <row r="1306">
      <c r="A1306" s="31" t="s">
        <v>1646</v>
      </c>
      <c r="B1306" s="32">
        <v>42208.0</v>
      </c>
      <c r="C1306" s="31" t="s">
        <v>1318</v>
      </c>
      <c r="D1306" s="31" t="s">
        <v>47</v>
      </c>
      <c r="E1306" s="31" t="s">
        <v>45</v>
      </c>
      <c r="F1306" s="33">
        <v>68.94</v>
      </c>
      <c r="G1306" s="33">
        <v>3.0</v>
      </c>
      <c r="H1306" s="33">
        <v>20.682</v>
      </c>
    </row>
    <row r="1307">
      <c r="A1307" s="31" t="s">
        <v>1647</v>
      </c>
      <c r="B1307" s="32">
        <v>42229.0</v>
      </c>
      <c r="C1307" s="31" t="s">
        <v>1320</v>
      </c>
      <c r="D1307" s="31" t="s">
        <v>38</v>
      </c>
      <c r="E1307" s="31" t="s">
        <v>28</v>
      </c>
      <c r="F1307" s="33">
        <v>50.8</v>
      </c>
      <c r="G1307" s="33">
        <v>5.0</v>
      </c>
      <c r="H1307" s="33">
        <v>13.208</v>
      </c>
    </row>
    <row r="1308">
      <c r="A1308" s="31" t="s">
        <v>1648</v>
      </c>
      <c r="B1308" s="32">
        <v>42159.0</v>
      </c>
      <c r="C1308" s="31" t="s">
        <v>1294</v>
      </c>
      <c r="D1308" s="31" t="s">
        <v>47</v>
      </c>
      <c r="E1308" s="31" t="s">
        <v>45</v>
      </c>
      <c r="F1308" s="33">
        <v>30.44</v>
      </c>
      <c r="G1308" s="33">
        <v>4.0</v>
      </c>
      <c r="H1308" s="33">
        <v>14.3068</v>
      </c>
    </row>
    <row r="1309">
      <c r="A1309" s="31" t="s">
        <v>1649</v>
      </c>
      <c r="B1309" s="32">
        <v>42351.0</v>
      </c>
      <c r="C1309" s="31" t="s">
        <v>1650</v>
      </c>
      <c r="D1309" s="31" t="s">
        <v>47</v>
      </c>
      <c r="E1309" s="31" t="s">
        <v>45</v>
      </c>
      <c r="F1309" s="33">
        <v>19.44</v>
      </c>
      <c r="G1309" s="33">
        <v>3.0</v>
      </c>
      <c r="H1309" s="33">
        <v>9.3312</v>
      </c>
    </row>
    <row r="1310">
      <c r="A1310" s="31" t="s">
        <v>1651</v>
      </c>
      <c r="B1310" s="32">
        <v>42329.0</v>
      </c>
      <c r="C1310" s="31" t="s">
        <v>1652</v>
      </c>
      <c r="D1310" s="31" t="s">
        <v>11</v>
      </c>
      <c r="E1310" s="31" t="s">
        <v>28</v>
      </c>
      <c r="F1310" s="33">
        <v>141.96</v>
      </c>
      <c r="G1310" s="33">
        <v>2.0</v>
      </c>
      <c r="H1310" s="33">
        <v>41.1684</v>
      </c>
    </row>
    <row r="1311">
      <c r="A1311" s="31" t="s">
        <v>1653</v>
      </c>
      <c r="B1311" s="32">
        <v>42342.0</v>
      </c>
      <c r="C1311" s="31" t="s">
        <v>1046</v>
      </c>
      <c r="D1311" s="31" t="s">
        <v>11</v>
      </c>
      <c r="E1311" s="31" t="s">
        <v>45</v>
      </c>
      <c r="F1311" s="33">
        <v>28.44</v>
      </c>
      <c r="G1311" s="33">
        <v>3.0</v>
      </c>
      <c r="H1311" s="33">
        <v>11.376</v>
      </c>
    </row>
    <row r="1312">
      <c r="A1312" s="31" t="s">
        <v>1654</v>
      </c>
      <c r="B1312" s="32">
        <v>42342.0</v>
      </c>
      <c r="C1312" s="31" t="s">
        <v>1438</v>
      </c>
      <c r="D1312" s="31" t="s">
        <v>11</v>
      </c>
      <c r="E1312" s="31" t="s">
        <v>45</v>
      </c>
      <c r="F1312" s="33">
        <v>17.94</v>
      </c>
      <c r="G1312" s="33">
        <v>3.0</v>
      </c>
      <c r="H1312" s="33">
        <v>8.7906</v>
      </c>
    </row>
    <row r="1313">
      <c r="A1313" s="31" t="s">
        <v>1655</v>
      </c>
      <c r="B1313" s="32">
        <v>42128.0</v>
      </c>
      <c r="C1313" s="31" t="s">
        <v>1121</v>
      </c>
      <c r="D1313" s="31" t="s">
        <v>38</v>
      </c>
      <c r="E1313" s="31" t="s">
        <v>31</v>
      </c>
      <c r="F1313" s="33">
        <v>22.288</v>
      </c>
      <c r="G1313" s="33">
        <v>7.0</v>
      </c>
      <c r="H1313" s="33">
        <v>-8.9152</v>
      </c>
    </row>
    <row r="1314">
      <c r="A1314" s="31" t="s">
        <v>1656</v>
      </c>
      <c r="B1314" s="32">
        <v>42294.0</v>
      </c>
      <c r="C1314" s="31" t="s">
        <v>1339</v>
      </c>
      <c r="D1314" s="31" t="s">
        <v>11</v>
      </c>
      <c r="E1314" s="31" t="s">
        <v>28</v>
      </c>
      <c r="F1314" s="33">
        <v>77.88</v>
      </c>
      <c r="G1314" s="33">
        <v>2.0</v>
      </c>
      <c r="H1314" s="33">
        <v>3.894</v>
      </c>
    </row>
    <row r="1315">
      <c r="A1315" s="31" t="s">
        <v>1657</v>
      </c>
      <c r="B1315" s="32">
        <v>42121.0</v>
      </c>
      <c r="C1315" s="31" t="s">
        <v>1658</v>
      </c>
      <c r="D1315" s="31" t="s">
        <v>47</v>
      </c>
      <c r="E1315" s="31" t="s">
        <v>28</v>
      </c>
      <c r="F1315" s="33">
        <v>43.56</v>
      </c>
      <c r="G1315" s="33">
        <v>5.0</v>
      </c>
      <c r="H1315" s="33">
        <v>3.267</v>
      </c>
    </row>
    <row r="1316">
      <c r="A1316" s="31" t="s">
        <v>1659</v>
      </c>
      <c r="B1316" s="32">
        <v>42253.0</v>
      </c>
      <c r="C1316" s="31" t="s">
        <v>1660</v>
      </c>
      <c r="D1316" s="31" t="s">
        <v>47</v>
      </c>
      <c r="E1316" s="31" t="s">
        <v>45</v>
      </c>
      <c r="F1316" s="33">
        <v>271.764</v>
      </c>
      <c r="G1316" s="33">
        <v>2.0</v>
      </c>
      <c r="H1316" s="33">
        <v>60.392</v>
      </c>
    </row>
    <row r="1317">
      <c r="A1317" s="31" t="s">
        <v>1661</v>
      </c>
      <c r="B1317" s="32">
        <v>42271.0</v>
      </c>
      <c r="C1317" s="31" t="s">
        <v>1662</v>
      </c>
      <c r="D1317" s="31" t="s">
        <v>47</v>
      </c>
      <c r="E1317" s="31" t="s">
        <v>31</v>
      </c>
      <c r="F1317" s="33">
        <v>15.24</v>
      </c>
      <c r="G1317" s="33">
        <v>4.0</v>
      </c>
      <c r="H1317" s="33">
        <v>6.858</v>
      </c>
    </row>
    <row r="1318">
      <c r="A1318" s="31" t="s">
        <v>1663</v>
      </c>
      <c r="B1318" s="32">
        <v>42274.0</v>
      </c>
      <c r="C1318" s="31" t="s">
        <v>1322</v>
      </c>
      <c r="D1318" s="31" t="s">
        <v>11</v>
      </c>
      <c r="E1318" s="31" t="s">
        <v>31</v>
      </c>
      <c r="F1318" s="33">
        <v>15.08</v>
      </c>
      <c r="G1318" s="33">
        <v>2.0</v>
      </c>
      <c r="H1318" s="33">
        <v>-22.62</v>
      </c>
    </row>
    <row r="1319">
      <c r="A1319" s="31" t="s">
        <v>1664</v>
      </c>
      <c r="B1319" s="32">
        <v>42337.0</v>
      </c>
      <c r="C1319" s="31" t="s">
        <v>1368</v>
      </c>
      <c r="D1319" s="31" t="s">
        <v>47</v>
      </c>
      <c r="E1319" s="31" t="s">
        <v>28</v>
      </c>
      <c r="F1319" s="33">
        <v>4.304</v>
      </c>
      <c r="G1319" s="33">
        <v>1.0</v>
      </c>
      <c r="H1319" s="33">
        <v>1.5602</v>
      </c>
    </row>
    <row r="1320">
      <c r="A1320" s="31" t="s">
        <v>1665</v>
      </c>
      <c r="B1320" s="32">
        <v>42167.0</v>
      </c>
      <c r="C1320" s="31" t="s">
        <v>1666</v>
      </c>
      <c r="D1320" s="31" t="s">
        <v>11</v>
      </c>
      <c r="E1320" s="31" t="s">
        <v>45</v>
      </c>
      <c r="F1320" s="33">
        <v>29.9</v>
      </c>
      <c r="G1320" s="33">
        <v>5.0</v>
      </c>
      <c r="H1320" s="33">
        <v>5.083</v>
      </c>
    </row>
    <row r="1321">
      <c r="A1321" s="31" t="s">
        <v>1667</v>
      </c>
      <c r="B1321" s="32">
        <v>42064.0</v>
      </c>
      <c r="C1321" s="31" t="s">
        <v>1668</v>
      </c>
      <c r="D1321" s="31" t="s">
        <v>11</v>
      </c>
      <c r="E1321" s="31" t="s">
        <v>59</v>
      </c>
      <c r="F1321" s="33">
        <v>58.72</v>
      </c>
      <c r="G1321" s="33">
        <v>4.0</v>
      </c>
      <c r="H1321" s="33">
        <v>27.0112</v>
      </c>
    </row>
    <row r="1322">
      <c r="A1322" s="31" t="s">
        <v>1669</v>
      </c>
      <c r="B1322" s="32">
        <v>42194.0</v>
      </c>
      <c r="C1322" s="31" t="s">
        <v>1050</v>
      </c>
      <c r="D1322" s="31" t="s">
        <v>11</v>
      </c>
      <c r="E1322" s="31" t="s">
        <v>59</v>
      </c>
      <c r="F1322" s="33">
        <v>5.16</v>
      </c>
      <c r="G1322" s="33">
        <v>3.0</v>
      </c>
      <c r="H1322" s="33">
        <v>0.8385</v>
      </c>
    </row>
    <row r="1323">
      <c r="A1323" s="31" t="s">
        <v>1670</v>
      </c>
      <c r="B1323" s="32">
        <v>42055.0</v>
      </c>
      <c r="C1323" s="31" t="s">
        <v>1671</v>
      </c>
      <c r="D1323" s="31" t="s">
        <v>11</v>
      </c>
      <c r="E1323" s="31" t="s">
        <v>45</v>
      </c>
      <c r="F1323" s="33">
        <v>286.79</v>
      </c>
      <c r="G1323" s="33">
        <v>7.0</v>
      </c>
      <c r="H1323" s="33">
        <v>74.5654</v>
      </c>
    </row>
    <row r="1324">
      <c r="A1324" s="31" t="s">
        <v>1672</v>
      </c>
      <c r="B1324" s="32">
        <v>42257.0</v>
      </c>
      <c r="C1324" s="31" t="s">
        <v>1673</v>
      </c>
      <c r="D1324" s="31" t="s">
        <v>38</v>
      </c>
      <c r="E1324" s="31" t="s">
        <v>45</v>
      </c>
      <c r="F1324" s="33">
        <v>61.96</v>
      </c>
      <c r="G1324" s="33">
        <v>2.0</v>
      </c>
      <c r="H1324" s="33">
        <v>16.1096</v>
      </c>
    </row>
    <row r="1325">
      <c r="A1325" s="31" t="s">
        <v>1674</v>
      </c>
      <c r="B1325" s="32">
        <v>42100.0</v>
      </c>
      <c r="C1325" s="31" t="s">
        <v>1675</v>
      </c>
      <c r="D1325" s="31" t="s">
        <v>11</v>
      </c>
      <c r="E1325" s="31" t="s">
        <v>59</v>
      </c>
      <c r="F1325" s="33">
        <v>47.952</v>
      </c>
      <c r="G1325" s="33">
        <v>3.0</v>
      </c>
      <c r="H1325" s="33">
        <v>16.1838</v>
      </c>
    </row>
    <row r="1326">
      <c r="A1326" s="31" t="s">
        <v>1676</v>
      </c>
      <c r="B1326" s="32">
        <v>42187.0</v>
      </c>
      <c r="C1326" s="31" t="s">
        <v>1677</v>
      </c>
      <c r="D1326" s="31" t="s">
        <v>11</v>
      </c>
      <c r="E1326" s="31" t="s">
        <v>31</v>
      </c>
      <c r="F1326" s="33">
        <v>408.422</v>
      </c>
      <c r="G1326" s="33">
        <v>2.0</v>
      </c>
      <c r="H1326" s="33">
        <v>-5.8346</v>
      </c>
    </row>
    <row r="1327">
      <c r="A1327" s="31" t="s">
        <v>1678</v>
      </c>
      <c r="B1327" s="32">
        <v>42177.0</v>
      </c>
      <c r="C1327" s="31" t="s">
        <v>1679</v>
      </c>
      <c r="D1327" s="31" t="s">
        <v>47</v>
      </c>
      <c r="E1327" s="31" t="s">
        <v>31</v>
      </c>
      <c r="F1327" s="33">
        <v>796.425</v>
      </c>
      <c r="G1327" s="33">
        <v>7.0</v>
      </c>
      <c r="H1327" s="33">
        <v>-525.6405</v>
      </c>
    </row>
    <row r="1328">
      <c r="A1328" s="31" t="s">
        <v>1680</v>
      </c>
      <c r="B1328" s="32">
        <v>42104.0</v>
      </c>
      <c r="C1328" s="31" t="s">
        <v>1613</v>
      </c>
      <c r="D1328" s="31" t="s">
        <v>38</v>
      </c>
      <c r="E1328" s="31" t="s">
        <v>28</v>
      </c>
      <c r="F1328" s="33">
        <v>12.832</v>
      </c>
      <c r="G1328" s="33">
        <v>2.0</v>
      </c>
      <c r="H1328" s="33">
        <v>4.3308</v>
      </c>
    </row>
    <row r="1329">
      <c r="A1329" s="31" t="s">
        <v>1681</v>
      </c>
      <c r="B1329" s="32">
        <v>42264.0</v>
      </c>
      <c r="C1329" s="31" t="s">
        <v>1682</v>
      </c>
      <c r="D1329" s="31" t="s">
        <v>11</v>
      </c>
      <c r="E1329" s="31" t="s">
        <v>59</v>
      </c>
      <c r="F1329" s="33">
        <v>87.168</v>
      </c>
      <c r="G1329" s="33">
        <v>3.0</v>
      </c>
      <c r="H1329" s="33">
        <v>10.896</v>
      </c>
    </row>
    <row r="1330">
      <c r="A1330" s="31" t="s">
        <v>1683</v>
      </c>
      <c r="B1330" s="32">
        <v>42082.0</v>
      </c>
      <c r="C1330" s="31" t="s">
        <v>1684</v>
      </c>
      <c r="D1330" s="31" t="s">
        <v>11</v>
      </c>
      <c r="E1330" s="31" t="s">
        <v>59</v>
      </c>
      <c r="F1330" s="33">
        <v>14.496</v>
      </c>
      <c r="G1330" s="33">
        <v>3.0</v>
      </c>
      <c r="H1330" s="33">
        <v>4.8924</v>
      </c>
    </row>
    <row r="1331">
      <c r="A1331" s="31" t="s">
        <v>1685</v>
      </c>
      <c r="B1331" s="32">
        <v>42348.0</v>
      </c>
      <c r="C1331" s="31" t="s">
        <v>1686</v>
      </c>
      <c r="D1331" s="31" t="s">
        <v>38</v>
      </c>
      <c r="E1331" s="31" t="s">
        <v>31</v>
      </c>
      <c r="F1331" s="33">
        <v>3.9</v>
      </c>
      <c r="G1331" s="33">
        <v>2.0</v>
      </c>
      <c r="H1331" s="33">
        <v>1.521</v>
      </c>
    </row>
    <row r="1332">
      <c r="A1332" s="31" t="s">
        <v>1687</v>
      </c>
      <c r="B1332" s="32">
        <v>42341.0</v>
      </c>
      <c r="C1332" s="31" t="s">
        <v>1688</v>
      </c>
      <c r="D1332" s="31" t="s">
        <v>47</v>
      </c>
      <c r="E1332" s="31" t="s">
        <v>45</v>
      </c>
      <c r="F1332" s="33">
        <v>16.448</v>
      </c>
      <c r="G1332" s="33">
        <v>2.0</v>
      </c>
      <c r="H1332" s="33">
        <v>5.5512</v>
      </c>
    </row>
    <row r="1333">
      <c r="A1333" s="31" t="s">
        <v>1689</v>
      </c>
      <c r="B1333" s="32">
        <v>42330.0</v>
      </c>
      <c r="C1333" s="31" t="s">
        <v>1355</v>
      </c>
      <c r="D1333" s="31" t="s">
        <v>11</v>
      </c>
      <c r="E1333" s="31" t="s">
        <v>59</v>
      </c>
      <c r="F1333" s="33">
        <v>2.946</v>
      </c>
      <c r="G1333" s="33">
        <v>2.0</v>
      </c>
      <c r="H1333" s="33">
        <v>-2.0622</v>
      </c>
    </row>
    <row r="1334">
      <c r="A1334" s="31" t="s">
        <v>1690</v>
      </c>
      <c r="B1334" s="32">
        <v>42075.0</v>
      </c>
      <c r="C1334" s="31" t="s">
        <v>1691</v>
      </c>
      <c r="D1334" s="31" t="s">
        <v>38</v>
      </c>
      <c r="E1334" s="31" t="s">
        <v>59</v>
      </c>
      <c r="F1334" s="33">
        <v>8.688</v>
      </c>
      <c r="G1334" s="33">
        <v>3.0</v>
      </c>
      <c r="H1334" s="33">
        <v>2.9322</v>
      </c>
    </row>
    <row r="1335">
      <c r="A1335" s="31" t="s">
        <v>1692</v>
      </c>
      <c r="B1335" s="32">
        <v>42343.0</v>
      </c>
      <c r="C1335" s="31" t="s">
        <v>1693</v>
      </c>
      <c r="D1335" s="31" t="s">
        <v>38</v>
      </c>
      <c r="E1335" s="31" t="s">
        <v>28</v>
      </c>
      <c r="F1335" s="33">
        <v>44.46</v>
      </c>
      <c r="G1335" s="33">
        <v>2.0</v>
      </c>
      <c r="H1335" s="33">
        <v>14.6718</v>
      </c>
    </row>
    <row r="1336">
      <c r="A1336" s="31" t="s">
        <v>1694</v>
      </c>
      <c r="B1336" s="32">
        <v>42194.0</v>
      </c>
      <c r="C1336" s="31" t="s">
        <v>1695</v>
      </c>
      <c r="D1336" s="31" t="s">
        <v>11</v>
      </c>
      <c r="E1336" s="31" t="s">
        <v>45</v>
      </c>
      <c r="F1336" s="33">
        <v>15.8</v>
      </c>
      <c r="G1336" s="33">
        <v>4.0</v>
      </c>
      <c r="H1336" s="33">
        <v>5.056</v>
      </c>
    </row>
    <row r="1337">
      <c r="A1337" s="31" t="s">
        <v>1696</v>
      </c>
      <c r="B1337" s="32">
        <v>42307.0</v>
      </c>
      <c r="C1337" s="31" t="s">
        <v>1400</v>
      </c>
      <c r="D1337" s="31" t="s">
        <v>38</v>
      </c>
      <c r="E1337" s="31" t="s">
        <v>28</v>
      </c>
      <c r="F1337" s="33">
        <v>59.994</v>
      </c>
      <c r="G1337" s="33">
        <v>2.0</v>
      </c>
      <c r="H1337" s="33">
        <v>-45.9954</v>
      </c>
    </row>
    <row r="1338">
      <c r="A1338" s="31" t="s">
        <v>1697</v>
      </c>
      <c r="B1338" s="32">
        <v>42327.0</v>
      </c>
      <c r="C1338" s="31" t="s">
        <v>1658</v>
      </c>
      <c r="D1338" s="31" t="s">
        <v>47</v>
      </c>
      <c r="E1338" s="31" t="s">
        <v>28</v>
      </c>
      <c r="F1338" s="33">
        <v>141.96</v>
      </c>
      <c r="G1338" s="33">
        <v>2.0</v>
      </c>
      <c r="H1338" s="33">
        <v>22.7136</v>
      </c>
    </row>
    <row r="1339">
      <c r="A1339" s="31" t="s">
        <v>1698</v>
      </c>
      <c r="B1339" s="32">
        <v>42168.0</v>
      </c>
      <c r="C1339" s="31" t="s">
        <v>1699</v>
      </c>
      <c r="D1339" s="31" t="s">
        <v>38</v>
      </c>
      <c r="E1339" s="31" t="s">
        <v>59</v>
      </c>
      <c r="F1339" s="33">
        <v>24.78</v>
      </c>
      <c r="G1339" s="33">
        <v>6.0</v>
      </c>
      <c r="H1339" s="33">
        <v>6.9384</v>
      </c>
    </row>
    <row r="1340">
      <c r="A1340" s="31" t="s">
        <v>1700</v>
      </c>
      <c r="B1340" s="32">
        <v>42265.0</v>
      </c>
      <c r="C1340" s="31" t="s">
        <v>1701</v>
      </c>
      <c r="D1340" s="31" t="s">
        <v>38</v>
      </c>
      <c r="E1340" s="31" t="s">
        <v>45</v>
      </c>
      <c r="F1340" s="33">
        <v>41.96</v>
      </c>
      <c r="G1340" s="33">
        <v>2.0</v>
      </c>
      <c r="H1340" s="33">
        <v>7.9724</v>
      </c>
    </row>
    <row r="1341">
      <c r="A1341" s="31" t="s">
        <v>1702</v>
      </c>
      <c r="B1341" s="32">
        <v>42265.0</v>
      </c>
      <c r="C1341" s="31" t="s">
        <v>1398</v>
      </c>
      <c r="D1341" s="31" t="s">
        <v>38</v>
      </c>
      <c r="E1341" s="31" t="s">
        <v>28</v>
      </c>
      <c r="F1341" s="33">
        <v>11.68</v>
      </c>
      <c r="G1341" s="33">
        <v>2.0</v>
      </c>
      <c r="H1341" s="33">
        <v>5.4896</v>
      </c>
    </row>
    <row r="1342">
      <c r="A1342" s="31" t="s">
        <v>1703</v>
      </c>
      <c r="B1342" s="32">
        <v>42346.0</v>
      </c>
      <c r="C1342" s="31" t="s">
        <v>1208</v>
      </c>
      <c r="D1342" s="31" t="s">
        <v>47</v>
      </c>
      <c r="E1342" s="31" t="s">
        <v>31</v>
      </c>
      <c r="F1342" s="33">
        <v>119.96</v>
      </c>
      <c r="G1342" s="33">
        <v>5.0</v>
      </c>
      <c r="H1342" s="33">
        <v>11.996</v>
      </c>
    </row>
    <row r="1343">
      <c r="A1343" s="31" t="s">
        <v>1704</v>
      </c>
      <c r="B1343" s="32">
        <v>42127.0</v>
      </c>
      <c r="C1343" s="31" t="s">
        <v>1705</v>
      </c>
      <c r="D1343" s="31" t="s">
        <v>47</v>
      </c>
      <c r="E1343" s="31" t="s">
        <v>28</v>
      </c>
      <c r="F1343" s="33">
        <v>665.88</v>
      </c>
      <c r="G1343" s="33">
        <v>6.0</v>
      </c>
      <c r="H1343" s="33">
        <v>106.5408</v>
      </c>
    </row>
    <row r="1344">
      <c r="A1344" s="31" t="s">
        <v>1706</v>
      </c>
      <c r="B1344" s="32">
        <v>42194.0</v>
      </c>
      <c r="C1344" s="31" t="s">
        <v>1394</v>
      </c>
      <c r="D1344" s="31" t="s">
        <v>11</v>
      </c>
      <c r="E1344" s="31" t="s">
        <v>45</v>
      </c>
      <c r="F1344" s="33">
        <v>269.982</v>
      </c>
      <c r="G1344" s="33">
        <v>3.0</v>
      </c>
      <c r="H1344" s="33">
        <v>40.4973</v>
      </c>
    </row>
    <row r="1345">
      <c r="A1345" s="31" t="s">
        <v>1707</v>
      </c>
      <c r="B1345" s="32">
        <v>42062.0</v>
      </c>
      <c r="C1345" s="31" t="s">
        <v>1260</v>
      </c>
      <c r="D1345" s="31" t="s">
        <v>38</v>
      </c>
      <c r="E1345" s="31" t="s">
        <v>45</v>
      </c>
      <c r="F1345" s="33">
        <v>4.419</v>
      </c>
      <c r="G1345" s="33">
        <v>3.0</v>
      </c>
      <c r="H1345" s="33">
        <v>-3.3879</v>
      </c>
    </row>
    <row r="1346">
      <c r="A1346" s="31" t="s">
        <v>1708</v>
      </c>
      <c r="B1346" s="32">
        <v>42335.0</v>
      </c>
      <c r="C1346" s="31" t="s">
        <v>1337</v>
      </c>
      <c r="D1346" s="31" t="s">
        <v>11</v>
      </c>
      <c r="E1346" s="31" t="s">
        <v>45</v>
      </c>
      <c r="F1346" s="33">
        <v>29.79</v>
      </c>
      <c r="G1346" s="33">
        <v>3.0</v>
      </c>
      <c r="H1346" s="33">
        <v>12.5118</v>
      </c>
    </row>
    <row r="1347">
      <c r="A1347" s="31" t="s">
        <v>1709</v>
      </c>
      <c r="B1347" s="32">
        <v>42320.0</v>
      </c>
      <c r="C1347" s="31" t="s">
        <v>1710</v>
      </c>
      <c r="D1347" s="31" t="s">
        <v>38</v>
      </c>
      <c r="E1347" s="31" t="s">
        <v>59</v>
      </c>
      <c r="F1347" s="33">
        <v>11.76</v>
      </c>
      <c r="G1347" s="33">
        <v>5.0</v>
      </c>
      <c r="H1347" s="33">
        <v>1.323</v>
      </c>
    </row>
    <row r="1348">
      <c r="A1348" s="31" t="s">
        <v>1711</v>
      </c>
      <c r="B1348" s="32">
        <v>42313.0</v>
      </c>
      <c r="C1348" s="31" t="s">
        <v>1712</v>
      </c>
      <c r="D1348" s="31" t="s">
        <v>11</v>
      </c>
      <c r="E1348" s="31" t="s">
        <v>31</v>
      </c>
      <c r="F1348" s="33">
        <v>19.824</v>
      </c>
      <c r="G1348" s="33">
        <v>6.0</v>
      </c>
      <c r="H1348" s="33">
        <v>6.4428</v>
      </c>
    </row>
    <row r="1349">
      <c r="A1349" s="31" t="s">
        <v>1713</v>
      </c>
      <c r="B1349" s="32">
        <v>42262.0</v>
      </c>
      <c r="C1349" s="31" t="s">
        <v>1652</v>
      </c>
      <c r="D1349" s="31" t="s">
        <v>11</v>
      </c>
      <c r="E1349" s="31" t="s">
        <v>59</v>
      </c>
      <c r="F1349" s="33">
        <v>801.96</v>
      </c>
      <c r="G1349" s="33">
        <v>2.0</v>
      </c>
      <c r="H1349" s="33">
        <v>200.49</v>
      </c>
    </row>
    <row r="1350">
      <c r="A1350" s="31" t="s">
        <v>1714</v>
      </c>
      <c r="B1350" s="32">
        <v>42261.0</v>
      </c>
      <c r="C1350" s="31" t="s">
        <v>1715</v>
      </c>
      <c r="D1350" s="31" t="s">
        <v>11</v>
      </c>
      <c r="E1350" s="31" t="s">
        <v>45</v>
      </c>
      <c r="F1350" s="33">
        <v>991.2</v>
      </c>
      <c r="G1350" s="33">
        <v>6.0</v>
      </c>
      <c r="H1350" s="33">
        <v>257.712</v>
      </c>
    </row>
    <row r="1351">
      <c r="A1351" s="31" t="s">
        <v>1716</v>
      </c>
      <c r="B1351" s="32">
        <v>42322.0</v>
      </c>
      <c r="C1351" s="31" t="s">
        <v>1717</v>
      </c>
      <c r="D1351" s="31" t="s">
        <v>11</v>
      </c>
      <c r="E1351" s="31" t="s">
        <v>45</v>
      </c>
      <c r="F1351" s="33">
        <v>76.14</v>
      </c>
      <c r="G1351" s="33">
        <v>3.0</v>
      </c>
      <c r="H1351" s="33">
        <v>26.649</v>
      </c>
    </row>
    <row r="1352">
      <c r="A1352" s="31" t="s">
        <v>1718</v>
      </c>
      <c r="B1352" s="32">
        <v>42342.0</v>
      </c>
      <c r="C1352" s="31" t="s">
        <v>1091</v>
      </c>
      <c r="D1352" s="31" t="s">
        <v>38</v>
      </c>
      <c r="E1352" s="31" t="s">
        <v>31</v>
      </c>
      <c r="F1352" s="33">
        <v>85.96</v>
      </c>
      <c r="G1352" s="33">
        <v>7.0</v>
      </c>
      <c r="H1352" s="33">
        <v>40.4012</v>
      </c>
    </row>
    <row r="1353">
      <c r="A1353" s="31" t="s">
        <v>1719</v>
      </c>
      <c r="B1353" s="32">
        <v>42268.0</v>
      </c>
      <c r="C1353" s="31" t="s">
        <v>1720</v>
      </c>
      <c r="D1353" s="31" t="s">
        <v>47</v>
      </c>
      <c r="E1353" s="31" t="s">
        <v>45</v>
      </c>
      <c r="F1353" s="33">
        <v>85.3</v>
      </c>
      <c r="G1353" s="33">
        <v>2.0</v>
      </c>
      <c r="H1353" s="33">
        <v>14.501</v>
      </c>
    </row>
    <row r="1354">
      <c r="A1354" s="31" t="s">
        <v>1721</v>
      </c>
      <c r="B1354" s="32">
        <v>42336.0</v>
      </c>
      <c r="C1354" s="31" t="s">
        <v>1722</v>
      </c>
      <c r="D1354" s="31" t="s">
        <v>11</v>
      </c>
      <c r="E1354" s="31" t="s">
        <v>31</v>
      </c>
      <c r="F1354" s="33">
        <v>151.96</v>
      </c>
      <c r="G1354" s="33">
        <v>5.0</v>
      </c>
      <c r="H1354" s="33">
        <v>-182.352</v>
      </c>
    </row>
    <row r="1355">
      <c r="A1355" s="31" t="s">
        <v>1723</v>
      </c>
      <c r="B1355" s="32">
        <v>42300.0</v>
      </c>
      <c r="C1355" s="31" t="s">
        <v>1724</v>
      </c>
      <c r="D1355" s="31" t="s">
        <v>11</v>
      </c>
      <c r="E1355" s="31" t="s">
        <v>28</v>
      </c>
      <c r="F1355" s="33">
        <v>148.32</v>
      </c>
      <c r="G1355" s="33">
        <v>9.0</v>
      </c>
      <c r="H1355" s="33">
        <v>63.7776</v>
      </c>
    </row>
    <row r="1356">
      <c r="A1356" s="31" t="s">
        <v>1725</v>
      </c>
      <c r="B1356" s="32">
        <v>42170.0</v>
      </c>
      <c r="C1356" s="31" t="s">
        <v>1726</v>
      </c>
      <c r="D1356" s="31" t="s">
        <v>11</v>
      </c>
      <c r="E1356" s="31" t="s">
        <v>28</v>
      </c>
      <c r="F1356" s="33">
        <v>9.568</v>
      </c>
      <c r="G1356" s="33">
        <v>2.0</v>
      </c>
      <c r="H1356" s="33">
        <v>2.99</v>
      </c>
    </row>
    <row r="1357">
      <c r="A1357" s="31" t="s">
        <v>1727</v>
      </c>
      <c r="B1357" s="32">
        <v>42007.0</v>
      </c>
      <c r="C1357" s="31" t="s">
        <v>1160</v>
      </c>
      <c r="D1357" s="31" t="s">
        <v>38</v>
      </c>
      <c r="E1357" s="31" t="s">
        <v>31</v>
      </c>
      <c r="F1357" s="33">
        <v>10.368</v>
      </c>
      <c r="G1357" s="33">
        <v>2.0</v>
      </c>
      <c r="H1357" s="33">
        <v>3.6288</v>
      </c>
    </row>
    <row r="1358">
      <c r="A1358" s="31" t="s">
        <v>1728</v>
      </c>
      <c r="B1358" s="32">
        <v>42322.0</v>
      </c>
      <c r="C1358" s="31" t="s">
        <v>1729</v>
      </c>
      <c r="D1358" s="31" t="s">
        <v>47</v>
      </c>
      <c r="E1358" s="31" t="s">
        <v>45</v>
      </c>
      <c r="F1358" s="33">
        <v>47.984</v>
      </c>
      <c r="G1358" s="33">
        <v>2.0</v>
      </c>
      <c r="H1358" s="33">
        <v>-1.1996</v>
      </c>
    </row>
    <row r="1359">
      <c r="A1359" s="31" t="s">
        <v>1730</v>
      </c>
      <c r="B1359" s="32">
        <v>42279.0</v>
      </c>
      <c r="C1359" s="31" t="s">
        <v>1731</v>
      </c>
      <c r="D1359" s="31" t="s">
        <v>47</v>
      </c>
      <c r="E1359" s="31" t="s">
        <v>28</v>
      </c>
      <c r="F1359" s="33">
        <v>270.34</v>
      </c>
      <c r="G1359" s="33">
        <v>14.0</v>
      </c>
      <c r="H1359" s="33">
        <v>75.6952</v>
      </c>
    </row>
    <row r="1360">
      <c r="A1360" s="31" t="s">
        <v>1732</v>
      </c>
      <c r="B1360" s="32">
        <v>42099.0</v>
      </c>
      <c r="C1360" s="31" t="s">
        <v>1733</v>
      </c>
      <c r="D1360" s="31" t="s">
        <v>47</v>
      </c>
      <c r="E1360" s="31" t="s">
        <v>45</v>
      </c>
      <c r="F1360" s="33">
        <v>98.112</v>
      </c>
      <c r="G1360" s="33">
        <v>7.0</v>
      </c>
      <c r="H1360" s="33">
        <v>18.396</v>
      </c>
    </row>
    <row r="1361">
      <c r="A1361" s="31" t="s">
        <v>1734</v>
      </c>
      <c r="B1361" s="32">
        <v>42339.0</v>
      </c>
      <c r="C1361" s="31" t="s">
        <v>1686</v>
      </c>
      <c r="D1361" s="31" t="s">
        <v>38</v>
      </c>
      <c r="E1361" s="31" t="s">
        <v>59</v>
      </c>
      <c r="F1361" s="33">
        <v>61.68</v>
      </c>
      <c r="G1361" s="33">
        <v>4.0</v>
      </c>
      <c r="H1361" s="33">
        <v>16.6536</v>
      </c>
    </row>
    <row r="1362">
      <c r="A1362" s="31" t="s">
        <v>1735</v>
      </c>
      <c r="B1362" s="32">
        <v>42171.0</v>
      </c>
      <c r="C1362" s="31" t="s">
        <v>1717</v>
      </c>
      <c r="D1362" s="31" t="s">
        <v>11</v>
      </c>
      <c r="E1362" s="31" t="s">
        <v>31</v>
      </c>
      <c r="F1362" s="33">
        <v>28.752</v>
      </c>
      <c r="G1362" s="33">
        <v>3.0</v>
      </c>
      <c r="H1362" s="33">
        <v>9.3444</v>
      </c>
    </row>
    <row r="1363">
      <c r="A1363" s="31" t="s">
        <v>1736</v>
      </c>
      <c r="B1363" s="32">
        <v>42296.0</v>
      </c>
      <c r="C1363" s="31" t="s">
        <v>1737</v>
      </c>
      <c r="D1363" s="31" t="s">
        <v>38</v>
      </c>
      <c r="E1363" s="31" t="s">
        <v>31</v>
      </c>
      <c r="F1363" s="33">
        <v>38.28</v>
      </c>
      <c r="G1363" s="33">
        <v>6.0</v>
      </c>
      <c r="H1363" s="33">
        <v>17.6088</v>
      </c>
    </row>
    <row r="1364">
      <c r="A1364" s="31" t="s">
        <v>1738</v>
      </c>
      <c r="B1364" s="32">
        <v>42156.0</v>
      </c>
      <c r="C1364" s="31" t="s">
        <v>1739</v>
      </c>
      <c r="D1364" s="31" t="s">
        <v>38</v>
      </c>
      <c r="E1364" s="31" t="s">
        <v>31</v>
      </c>
      <c r="F1364" s="33">
        <v>5.728</v>
      </c>
      <c r="G1364" s="33">
        <v>8.0</v>
      </c>
      <c r="H1364" s="33">
        <v>-9.1648</v>
      </c>
    </row>
    <row r="1365">
      <c r="A1365" s="31" t="s">
        <v>1740</v>
      </c>
      <c r="B1365" s="32">
        <v>42057.0</v>
      </c>
      <c r="C1365" s="31" t="s">
        <v>1741</v>
      </c>
      <c r="D1365" s="31" t="s">
        <v>47</v>
      </c>
      <c r="E1365" s="31" t="s">
        <v>31</v>
      </c>
      <c r="F1365" s="33">
        <v>79.36</v>
      </c>
      <c r="G1365" s="33">
        <v>4.0</v>
      </c>
      <c r="H1365" s="33">
        <v>20.6336</v>
      </c>
    </row>
    <row r="1366">
      <c r="A1366" s="31" t="s">
        <v>1742</v>
      </c>
      <c r="B1366" s="32">
        <v>42125.0</v>
      </c>
      <c r="C1366" s="31" t="s">
        <v>1188</v>
      </c>
      <c r="D1366" s="31" t="s">
        <v>38</v>
      </c>
      <c r="E1366" s="31" t="s">
        <v>59</v>
      </c>
      <c r="F1366" s="33">
        <v>63.552</v>
      </c>
      <c r="G1366" s="33">
        <v>3.0</v>
      </c>
      <c r="H1366" s="33">
        <v>14.2992</v>
      </c>
    </row>
    <row r="1367">
      <c r="A1367" s="31" t="s">
        <v>1743</v>
      </c>
      <c r="B1367" s="32">
        <v>42071.0</v>
      </c>
      <c r="C1367" s="31" t="s">
        <v>1744</v>
      </c>
      <c r="D1367" s="31" t="s">
        <v>11</v>
      </c>
      <c r="E1367" s="31" t="s">
        <v>31</v>
      </c>
      <c r="F1367" s="33">
        <v>512.94</v>
      </c>
      <c r="G1367" s="33">
        <v>3.0</v>
      </c>
      <c r="H1367" s="33">
        <v>97.4586</v>
      </c>
    </row>
    <row r="1368">
      <c r="A1368" s="31" t="s">
        <v>1745</v>
      </c>
      <c r="B1368" s="32">
        <v>42202.0</v>
      </c>
      <c r="C1368" s="31" t="s">
        <v>1746</v>
      </c>
      <c r="D1368" s="31" t="s">
        <v>38</v>
      </c>
      <c r="E1368" s="31" t="s">
        <v>59</v>
      </c>
      <c r="F1368" s="33">
        <v>231.92</v>
      </c>
      <c r="G1368" s="33">
        <v>5.0</v>
      </c>
      <c r="H1368" s="33">
        <v>5.798</v>
      </c>
    </row>
    <row r="1369">
      <c r="A1369" s="31" t="s">
        <v>1747</v>
      </c>
      <c r="B1369" s="32">
        <v>42348.0</v>
      </c>
      <c r="C1369" s="31" t="s">
        <v>1748</v>
      </c>
      <c r="D1369" s="31" t="s">
        <v>11</v>
      </c>
      <c r="E1369" s="31" t="s">
        <v>59</v>
      </c>
      <c r="F1369" s="33">
        <v>1.78</v>
      </c>
      <c r="G1369" s="33">
        <v>1.0</v>
      </c>
      <c r="H1369" s="33">
        <v>0.4984</v>
      </c>
    </row>
    <row r="1370">
      <c r="A1370" s="31" t="s">
        <v>1749</v>
      </c>
      <c r="B1370" s="32">
        <v>42356.0</v>
      </c>
      <c r="C1370" s="31" t="s">
        <v>1750</v>
      </c>
      <c r="D1370" s="31" t="s">
        <v>38</v>
      </c>
      <c r="E1370" s="31" t="s">
        <v>28</v>
      </c>
      <c r="F1370" s="33">
        <v>6.848</v>
      </c>
      <c r="G1370" s="33">
        <v>2.0</v>
      </c>
      <c r="H1370" s="33">
        <v>0.5992</v>
      </c>
    </row>
    <row r="1371">
      <c r="A1371" s="31" t="s">
        <v>1751</v>
      </c>
      <c r="B1371" s="32">
        <v>42360.0</v>
      </c>
      <c r="C1371" s="31" t="s">
        <v>1461</v>
      </c>
      <c r="D1371" s="31" t="s">
        <v>47</v>
      </c>
      <c r="E1371" s="31" t="s">
        <v>31</v>
      </c>
      <c r="F1371" s="33">
        <v>17.12</v>
      </c>
      <c r="G1371" s="33">
        <v>4.0</v>
      </c>
      <c r="H1371" s="33">
        <v>4.9648</v>
      </c>
    </row>
    <row r="1372">
      <c r="A1372" s="31" t="s">
        <v>1752</v>
      </c>
      <c r="B1372" s="32">
        <v>42239.0</v>
      </c>
      <c r="C1372" s="31" t="s">
        <v>1753</v>
      </c>
      <c r="D1372" s="31" t="s">
        <v>11</v>
      </c>
      <c r="E1372" s="31" t="s">
        <v>59</v>
      </c>
      <c r="F1372" s="33">
        <v>542.94</v>
      </c>
      <c r="G1372" s="33">
        <v>3.0</v>
      </c>
      <c r="H1372" s="33">
        <v>152.0232</v>
      </c>
    </row>
    <row r="1373">
      <c r="A1373" s="31" t="s">
        <v>1754</v>
      </c>
      <c r="B1373" s="32">
        <v>42366.0</v>
      </c>
      <c r="C1373" s="31" t="s">
        <v>1753</v>
      </c>
      <c r="D1373" s="31" t="s">
        <v>11</v>
      </c>
      <c r="E1373" s="31" t="s">
        <v>31</v>
      </c>
      <c r="F1373" s="33">
        <v>24.816</v>
      </c>
      <c r="G1373" s="33">
        <v>2.0</v>
      </c>
      <c r="H1373" s="33">
        <v>1.551</v>
      </c>
    </row>
    <row r="1374">
      <c r="A1374" s="31" t="s">
        <v>1755</v>
      </c>
      <c r="B1374" s="32">
        <v>42180.0</v>
      </c>
      <c r="C1374" s="31" t="s">
        <v>1756</v>
      </c>
      <c r="D1374" s="31" t="s">
        <v>11</v>
      </c>
      <c r="E1374" s="31" t="s">
        <v>28</v>
      </c>
      <c r="F1374" s="33">
        <v>204.85</v>
      </c>
      <c r="G1374" s="33">
        <v>5.0</v>
      </c>
      <c r="H1374" s="33">
        <v>57.358</v>
      </c>
    </row>
    <row r="1375">
      <c r="A1375" s="31" t="s">
        <v>1757</v>
      </c>
      <c r="B1375" s="32">
        <v>42096.0</v>
      </c>
      <c r="C1375" s="31" t="s">
        <v>1758</v>
      </c>
      <c r="D1375" s="31" t="s">
        <v>38</v>
      </c>
      <c r="E1375" s="31" t="s">
        <v>31</v>
      </c>
      <c r="F1375" s="33">
        <v>9.156</v>
      </c>
      <c r="G1375" s="33">
        <v>3.0</v>
      </c>
      <c r="H1375" s="33">
        <v>-13.734</v>
      </c>
    </row>
    <row r="1376">
      <c r="A1376" s="31" t="s">
        <v>1759</v>
      </c>
      <c r="B1376" s="32">
        <v>42201.0</v>
      </c>
      <c r="C1376" s="31" t="s">
        <v>1739</v>
      </c>
      <c r="D1376" s="31" t="s">
        <v>38</v>
      </c>
      <c r="E1376" s="31" t="s">
        <v>45</v>
      </c>
      <c r="F1376" s="33">
        <v>80.88</v>
      </c>
      <c r="G1376" s="33">
        <v>3.0</v>
      </c>
      <c r="H1376" s="33">
        <v>39.6312</v>
      </c>
    </row>
    <row r="1377">
      <c r="A1377" s="31" t="s">
        <v>1760</v>
      </c>
      <c r="B1377" s="32">
        <v>42328.0</v>
      </c>
      <c r="C1377" s="31" t="s">
        <v>1722</v>
      </c>
      <c r="D1377" s="31" t="s">
        <v>11</v>
      </c>
      <c r="E1377" s="31" t="s">
        <v>28</v>
      </c>
      <c r="F1377" s="33">
        <v>72.744</v>
      </c>
      <c r="G1377" s="33">
        <v>7.0</v>
      </c>
      <c r="H1377" s="33">
        <v>-15.4581</v>
      </c>
    </row>
    <row r="1378">
      <c r="A1378" s="31" t="s">
        <v>1761</v>
      </c>
      <c r="B1378" s="32">
        <v>42264.0</v>
      </c>
      <c r="C1378" s="31" t="s">
        <v>1758</v>
      </c>
      <c r="D1378" s="31" t="s">
        <v>38</v>
      </c>
      <c r="E1378" s="31" t="s">
        <v>28</v>
      </c>
      <c r="F1378" s="33">
        <v>25.032</v>
      </c>
      <c r="G1378" s="33">
        <v>3.0</v>
      </c>
      <c r="H1378" s="33">
        <v>7.8225</v>
      </c>
    </row>
    <row r="1379">
      <c r="A1379" s="31" t="s">
        <v>1762</v>
      </c>
      <c r="B1379" s="32">
        <v>42344.0</v>
      </c>
      <c r="C1379" s="31" t="s">
        <v>1415</v>
      </c>
      <c r="D1379" s="31" t="s">
        <v>47</v>
      </c>
      <c r="E1379" s="31" t="s">
        <v>31</v>
      </c>
      <c r="F1379" s="33">
        <v>999.98</v>
      </c>
      <c r="G1379" s="33">
        <v>2.0</v>
      </c>
      <c r="H1379" s="33">
        <v>449.991</v>
      </c>
    </row>
    <row r="1380">
      <c r="A1380" s="31" t="s">
        <v>1763</v>
      </c>
      <c r="B1380" s="32">
        <v>42271.0</v>
      </c>
      <c r="C1380" s="31" t="s">
        <v>1764</v>
      </c>
      <c r="D1380" s="31" t="s">
        <v>47</v>
      </c>
      <c r="E1380" s="31" t="s">
        <v>31</v>
      </c>
      <c r="F1380" s="33">
        <v>821.94</v>
      </c>
      <c r="G1380" s="33">
        <v>6.0</v>
      </c>
      <c r="H1380" s="33">
        <v>213.7044</v>
      </c>
    </row>
    <row r="1381">
      <c r="A1381" s="31" t="s">
        <v>1765</v>
      </c>
      <c r="B1381" s="32">
        <v>42357.0</v>
      </c>
      <c r="C1381" s="31" t="s">
        <v>1766</v>
      </c>
      <c r="D1381" s="31" t="s">
        <v>38</v>
      </c>
      <c r="E1381" s="31" t="s">
        <v>31</v>
      </c>
      <c r="F1381" s="33">
        <v>7.04</v>
      </c>
      <c r="G1381" s="33">
        <v>2.0</v>
      </c>
      <c r="H1381" s="33">
        <v>3.3088</v>
      </c>
    </row>
    <row r="1382">
      <c r="A1382" s="31" t="s">
        <v>1767</v>
      </c>
      <c r="B1382" s="32">
        <v>42359.0</v>
      </c>
      <c r="C1382" s="31" t="s">
        <v>1768</v>
      </c>
      <c r="D1382" s="31" t="s">
        <v>11</v>
      </c>
      <c r="E1382" s="31" t="s">
        <v>59</v>
      </c>
      <c r="F1382" s="33">
        <v>47.976</v>
      </c>
      <c r="G1382" s="33">
        <v>3.0</v>
      </c>
      <c r="H1382" s="33">
        <v>4.7976</v>
      </c>
    </row>
    <row r="1383">
      <c r="A1383" s="31" t="s">
        <v>1769</v>
      </c>
      <c r="B1383" s="32">
        <v>42240.0</v>
      </c>
      <c r="C1383" s="31" t="s">
        <v>1284</v>
      </c>
      <c r="D1383" s="31" t="s">
        <v>11</v>
      </c>
      <c r="E1383" s="31" t="s">
        <v>59</v>
      </c>
      <c r="F1383" s="33">
        <v>3080.0</v>
      </c>
      <c r="G1383" s="33">
        <v>7.0</v>
      </c>
      <c r="H1383" s="33">
        <v>1416.8</v>
      </c>
    </row>
    <row r="1384">
      <c r="A1384" s="31" t="s">
        <v>1770</v>
      </c>
      <c r="B1384" s="32">
        <v>42254.0</v>
      </c>
      <c r="C1384" s="31" t="s">
        <v>1355</v>
      </c>
      <c r="D1384" s="31" t="s">
        <v>11</v>
      </c>
      <c r="E1384" s="31" t="s">
        <v>45</v>
      </c>
      <c r="F1384" s="33">
        <v>13.96</v>
      </c>
      <c r="G1384" s="33">
        <v>2.0</v>
      </c>
      <c r="H1384" s="33">
        <v>0.2792</v>
      </c>
    </row>
    <row r="1385">
      <c r="A1385" s="31" t="s">
        <v>1771</v>
      </c>
      <c r="B1385" s="32">
        <v>42363.0</v>
      </c>
      <c r="C1385" s="31" t="s">
        <v>1772</v>
      </c>
      <c r="D1385" s="31" t="s">
        <v>38</v>
      </c>
      <c r="E1385" s="31" t="s">
        <v>31</v>
      </c>
      <c r="F1385" s="33">
        <v>73.98</v>
      </c>
      <c r="G1385" s="33">
        <v>2.0</v>
      </c>
      <c r="H1385" s="33">
        <v>19.9746</v>
      </c>
    </row>
    <row r="1386">
      <c r="A1386" s="31" t="s">
        <v>1773</v>
      </c>
      <c r="B1386" s="32">
        <v>42126.0</v>
      </c>
      <c r="C1386" s="31" t="s">
        <v>1774</v>
      </c>
      <c r="D1386" s="31" t="s">
        <v>38</v>
      </c>
      <c r="E1386" s="31" t="s">
        <v>31</v>
      </c>
      <c r="F1386" s="33">
        <v>8.856</v>
      </c>
      <c r="G1386" s="33">
        <v>3.0</v>
      </c>
      <c r="H1386" s="33">
        <v>2.9889</v>
      </c>
    </row>
    <row r="1387">
      <c r="A1387" s="31" t="s">
        <v>1775</v>
      </c>
      <c r="B1387" s="32">
        <v>42332.0</v>
      </c>
      <c r="C1387" s="31" t="s">
        <v>1222</v>
      </c>
      <c r="D1387" s="31" t="s">
        <v>11</v>
      </c>
      <c r="E1387" s="31" t="s">
        <v>28</v>
      </c>
      <c r="F1387" s="33">
        <v>3.168</v>
      </c>
      <c r="G1387" s="33">
        <v>2.0</v>
      </c>
      <c r="H1387" s="33">
        <v>0.99</v>
      </c>
    </row>
    <row r="1388">
      <c r="A1388" s="31" t="s">
        <v>1776</v>
      </c>
      <c r="B1388" s="32">
        <v>42092.0</v>
      </c>
      <c r="C1388" s="31" t="s">
        <v>1123</v>
      </c>
      <c r="D1388" s="31" t="s">
        <v>11</v>
      </c>
      <c r="E1388" s="31" t="s">
        <v>28</v>
      </c>
      <c r="F1388" s="33">
        <v>73.28</v>
      </c>
      <c r="G1388" s="33">
        <v>4.0</v>
      </c>
      <c r="H1388" s="33">
        <v>21.2512</v>
      </c>
    </row>
    <row r="1389">
      <c r="A1389" s="31" t="s">
        <v>1777</v>
      </c>
      <c r="B1389" s="32">
        <v>42187.0</v>
      </c>
      <c r="C1389" s="31" t="s">
        <v>1066</v>
      </c>
      <c r="D1389" s="31" t="s">
        <v>11</v>
      </c>
      <c r="E1389" s="31" t="s">
        <v>59</v>
      </c>
      <c r="F1389" s="33">
        <v>11.952</v>
      </c>
      <c r="G1389" s="33">
        <v>3.0</v>
      </c>
      <c r="H1389" s="33">
        <v>4.0338</v>
      </c>
    </row>
    <row r="1390">
      <c r="A1390" s="31" t="s">
        <v>1778</v>
      </c>
      <c r="B1390" s="32">
        <v>42336.0</v>
      </c>
      <c r="C1390" s="31" t="s">
        <v>1779</v>
      </c>
      <c r="D1390" s="31" t="s">
        <v>11</v>
      </c>
      <c r="E1390" s="31" t="s">
        <v>45</v>
      </c>
      <c r="F1390" s="33">
        <v>322.59</v>
      </c>
      <c r="G1390" s="33">
        <v>3.0</v>
      </c>
      <c r="H1390" s="33">
        <v>64.518</v>
      </c>
    </row>
    <row r="1391">
      <c r="A1391" s="31" t="s">
        <v>1780</v>
      </c>
      <c r="B1391" s="32">
        <v>42343.0</v>
      </c>
      <c r="C1391" s="31" t="s">
        <v>1781</v>
      </c>
      <c r="D1391" s="31" t="s">
        <v>11</v>
      </c>
      <c r="E1391" s="31" t="s">
        <v>45</v>
      </c>
      <c r="F1391" s="33">
        <v>47.984</v>
      </c>
      <c r="G1391" s="33">
        <v>2.0</v>
      </c>
      <c r="H1391" s="33">
        <v>0.5998</v>
      </c>
    </row>
    <row r="1392">
      <c r="A1392" s="31" t="s">
        <v>1782</v>
      </c>
      <c r="B1392" s="32">
        <v>42077.0</v>
      </c>
      <c r="C1392" s="31" t="s">
        <v>1783</v>
      </c>
      <c r="D1392" s="31" t="s">
        <v>11</v>
      </c>
      <c r="E1392" s="31" t="s">
        <v>45</v>
      </c>
      <c r="F1392" s="33">
        <v>16.52</v>
      </c>
      <c r="G1392" s="33">
        <v>4.0</v>
      </c>
      <c r="H1392" s="33">
        <v>7.5992</v>
      </c>
    </row>
    <row r="1393">
      <c r="A1393" s="31" t="s">
        <v>1784</v>
      </c>
      <c r="B1393" s="32">
        <v>42071.0</v>
      </c>
      <c r="C1393" s="31" t="s">
        <v>1785</v>
      </c>
      <c r="D1393" s="31" t="s">
        <v>38</v>
      </c>
      <c r="E1393" s="31" t="s">
        <v>45</v>
      </c>
      <c r="F1393" s="33">
        <v>19.44</v>
      </c>
      <c r="G1393" s="33">
        <v>3.0</v>
      </c>
      <c r="H1393" s="33">
        <v>9.3312</v>
      </c>
    </row>
    <row r="1394">
      <c r="A1394" s="31" t="s">
        <v>1786</v>
      </c>
      <c r="B1394" s="32">
        <v>42107.0</v>
      </c>
      <c r="C1394" s="31" t="s">
        <v>1787</v>
      </c>
      <c r="D1394" s="31" t="s">
        <v>47</v>
      </c>
      <c r="E1394" s="31" t="s">
        <v>28</v>
      </c>
      <c r="F1394" s="33">
        <v>31.104</v>
      </c>
      <c r="G1394" s="33">
        <v>6.0</v>
      </c>
      <c r="H1394" s="33">
        <v>10.8864</v>
      </c>
    </row>
    <row r="1395">
      <c r="A1395" s="31" t="s">
        <v>1788</v>
      </c>
      <c r="B1395" s="32">
        <v>42337.0</v>
      </c>
      <c r="C1395" s="31" t="s">
        <v>1789</v>
      </c>
      <c r="D1395" s="31" t="s">
        <v>47</v>
      </c>
      <c r="E1395" s="31" t="s">
        <v>28</v>
      </c>
      <c r="F1395" s="33">
        <v>56.3</v>
      </c>
      <c r="G1395" s="33">
        <v>2.0</v>
      </c>
      <c r="H1395" s="33">
        <v>15.764</v>
      </c>
    </row>
    <row r="1396">
      <c r="A1396" s="31" t="s">
        <v>1790</v>
      </c>
      <c r="B1396" s="32">
        <v>42193.0</v>
      </c>
      <c r="C1396" s="31" t="s">
        <v>1791</v>
      </c>
      <c r="D1396" s="31" t="s">
        <v>11</v>
      </c>
      <c r="E1396" s="31" t="s">
        <v>31</v>
      </c>
      <c r="F1396" s="33">
        <v>21.12</v>
      </c>
      <c r="G1396" s="33">
        <v>5.0</v>
      </c>
      <c r="H1396" s="33">
        <v>6.6</v>
      </c>
    </row>
    <row r="1397">
      <c r="A1397" s="31" t="s">
        <v>1792</v>
      </c>
      <c r="B1397" s="32">
        <v>42324.0</v>
      </c>
      <c r="C1397" s="31" t="s">
        <v>1793</v>
      </c>
      <c r="D1397" s="31" t="s">
        <v>38</v>
      </c>
      <c r="E1397" s="31" t="s">
        <v>28</v>
      </c>
      <c r="F1397" s="33">
        <v>696.42</v>
      </c>
      <c r="G1397" s="33">
        <v>2.0</v>
      </c>
      <c r="H1397" s="33">
        <v>160.1766</v>
      </c>
    </row>
    <row r="1398">
      <c r="A1398" s="31" t="s">
        <v>1794</v>
      </c>
      <c r="B1398" s="32">
        <v>42173.0</v>
      </c>
      <c r="C1398" s="31" t="s">
        <v>1795</v>
      </c>
      <c r="D1398" s="31" t="s">
        <v>11</v>
      </c>
      <c r="E1398" s="31" t="s">
        <v>28</v>
      </c>
      <c r="F1398" s="33">
        <v>51.98</v>
      </c>
      <c r="G1398" s="33">
        <v>2.0</v>
      </c>
      <c r="H1398" s="33">
        <v>15.0742</v>
      </c>
    </row>
    <row r="1399">
      <c r="A1399" s="31" t="s">
        <v>1796</v>
      </c>
      <c r="B1399" s="32">
        <v>42112.0</v>
      </c>
      <c r="C1399" s="31" t="s">
        <v>1797</v>
      </c>
      <c r="D1399" s="31" t="s">
        <v>11</v>
      </c>
      <c r="E1399" s="31" t="s">
        <v>45</v>
      </c>
      <c r="F1399" s="33">
        <v>21.93</v>
      </c>
      <c r="G1399" s="33">
        <v>3.0</v>
      </c>
      <c r="H1399" s="33">
        <v>10.3071</v>
      </c>
    </row>
    <row r="1400">
      <c r="A1400" s="31" t="s">
        <v>1798</v>
      </c>
      <c r="B1400" s="32">
        <v>42348.0</v>
      </c>
      <c r="C1400" s="31" t="s">
        <v>1799</v>
      </c>
      <c r="D1400" s="31" t="s">
        <v>47</v>
      </c>
      <c r="E1400" s="31" t="s">
        <v>45</v>
      </c>
      <c r="F1400" s="33">
        <v>7.31</v>
      </c>
      <c r="G1400" s="33">
        <v>1.0</v>
      </c>
      <c r="H1400" s="33">
        <v>3.4357</v>
      </c>
    </row>
    <row r="1401">
      <c r="A1401" s="31" t="s">
        <v>1800</v>
      </c>
      <c r="B1401" s="32">
        <v>42053.0</v>
      </c>
      <c r="C1401" s="31" t="s">
        <v>1801</v>
      </c>
      <c r="D1401" s="31" t="s">
        <v>38</v>
      </c>
      <c r="E1401" s="31" t="s">
        <v>28</v>
      </c>
      <c r="F1401" s="33">
        <v>9.24</v>
      </c>
      <c r="G1401" s="33">
        <v>3.0</v>
      </c>
      <c r="H1401" s="33">
        <v>4.4352</v>
      </c>
    </row>
    <row r="1402">
      <c r="A1402" s="31" t="s">
        <v>1802</v>
      </c>
      <c r="B1402" s="32">
        <v>42009.0</v>
      </c>
      <c r="C1402" s="31" t="s">
        <v>1803</v>
      </c>
      <c r="D1402" s="31" t="s">
        <v>47</v>
      </c>
      <c r="E1402" s="31" t="s">
        <v>28</v>
      </c>
      <c r="F1402" s="33">
        <v>61.584</v>
      </c>
      <c r="G1402" s="33">
        <v>1.0</v>
      </c>
      <c r="H1402" s="33">
        <v>-6.9282</v>
      </c>
    </row>
    <row r="1403">
      <c r="A1403" s="31" t="s">
        <v>1804</v>
      </c>
      <c r="B1403" s="32">
        <v>42300.0</v>
      </c>
      <c r="C1403" s="31" t="s">
        <v>1805</v>
      </c>
      <c r="D1403" s="31" t="s">
        <v>11</v>
      </c>
      <c r="E1403" s="31" t="s">
        <v>59</v>
      </c>
      <c r="F1403" s="33">
        <v>55.944</v>
      </c>
      <c r="G1403" s="33">
        <v>7.0</v>
      </c>
      <c r="H1403" s="33">
        <v>-13.2867</v>
      </c>
    </row>
    <row r="1404">
      <c r="A1404" s="31" t="s">
        <v>1806</v>
      </c>
      <c r="B1404" s="32">
        <v>42251.0</v>
      </c>
      <c r="C1404" s="31" t="s">
        <v>1807</v>
      </c>
      <c r="D1404" s="31" t="s">
        <v>38</v>
      </c>
      <c r="E1404" s="31" t="s">
        <v>28</v>
      </c>
      <c r="F1404" s="33">
        <v>9.762</v>
      </c>
      <c r="G1404" s="33">
        <v>2.0</v>
      </c>
      <c r="H1404" s="33">
        <v>-6.8334</v>
      </c>
    </row>
    <row r="1405">
      <c r="A1405" s="31" t="s">
        <v>1808</v>
      </c>
      <c r="B1405" s="32">
        <v>42334.0</v>
      </c>
      <c r="C1405" s="31" t="s">
        <v>1809</v>
      </c>
      <c r="D1405" s="31" t="s">
        <v>38</v>
      </c>
      <c r="E1405" s="31" t="s">
        <v>59</v>
      </c>
      <c r="F1405" s="33">
        <v>692.472</v>
      </c>
      <c r="G1405" s="33">
        <v>11.0</v>
      </c>
      <c r="H1405" s="33">
        <v>190.4298</v>
      </c>
    </row>
    <row r="1406">
      <c r="A1406" s="31" t="s">
        <v>1810</v>
      </c>
      <c r="B1406" s="32">
        <v>42300.0</v>
      </c>
      <c r="C1406" s="31" t="s">
        <v>1811</v>
      </c>
      <c r="D1406" s="31" t="s">
        <v>38</v>
      </c>
      <c r="E1406" s="31" t="s">
        <v>28</v>
      </c>
      <c r="F1406" s="33">
        <v>3.592</v>
      </c>
      <c r="G1406" s="33">
        <v>1.0</v>
      </c>
      <c r="H1406" s="33">
        <v>1.1225</v>
      </c>
    </row>
    <row r="1407">
      <c r="A1407" s="31" t="s">
        <v>1812</v>
      </c>
      <c r="B1407" s="32">
        <v>42194.0</v>
      </c>
      <c r="C1407" s="31" t="s">
        <v>1638</v>
      </c>
      <c r="D1407" s="31" t="s">
        <v>38</v>
      </c>
      <c r="E1407" s="31" t="s">
        <v>31</v>
      </c>
      <c r="F1407" s="33">
        <v>48.632</v>
      </c>
      <c r="G1407" s="33">
        <v>2.0</v>
      </c>
      <c r="H1407" s="33">
        <v>-121.58</v>
      </c>
    </row>
    <row r="1408">
      <c r="A1408" s="31" t="s">
        <v>1813</v>
      </c>
      <c r="B1408" s="32">
        <v>42329.0</v>
      </c>
      <c r="C1408" s="31" t="s">
        <v>1814</v>
      </c>
      <c r="D1408" s="31" t="s">
        <v>38</v>
      </c>
      <c r="E1408" s="31" t="s">
        <v>31</v>
      </c>
      <c r="F1408" s="33">
        <v>246.1328</v>
      </c>
      <c r="G1408" s="33">
        <v>2.0</v>
      </c>
      <c r="H1408" s="33">
        <v>-76.0116</v>
      </c>
    </row>
    <row r="1409">
      <c r="A1409" s="31" t="s">
        <v>1815</v>
      </c>
      <c r="B1409" s="32">
        <v>42141.0</v>
      </c>
      <c r="C1409" s="31" t="s">
        <v>1320</v>
      </c>
      <c r="D1409" s="31" t="s">
        <v>38</v>
      </c>
      <c r="E1409" s="31" t="s">
        <v>31</v>
      </c>
      <c r="F1409" s="33">
        <v>33.28</v>
      </c>
      <c r="G1409" s="33">
        <v>5.0</v>
      </c>
      <c r="H1409" s="33">
        <v>-49.92</v>
      </c>
    </row>
    <row r="1410">
      <c r="A1410" s="31" t="s">
        <v>1816</v>
      </c>
      <c r="B1410" s="32">
        <v>42180.0</v>
      </c>
      <c r="C1410" s="31" t="s">
        <v>1166</v>
      </c>
      <c r="D1410" s="31" t="s">
        <v>11</v>
      </c>
      <c r="E1410" s="31" t="s">
        <v>28</v>
      </c>
      <c r="F1410" s="33">
        <v>20.96</v>
      </c>
      <c r="G1410" s="33">
        <v>2.0</v>
      </c>
      <c r="H1410" s="33">
        <v>5.24</v>
      </c>
    </row>
    <row r="1411">
      <c r="A1411" s="31" t="s">
        <v>1817</v>
      </c>
      <c r="B1411" s="32">
        <v>42211.0</v>
      </c>
      <c r="C1411" s="31" t="s">
        <v>1076</v>
      </c>
      <c r="D1411" s="31" t="s">
        <v>11</v>
      </c>
      <c r="E1411" s="31" t="s">
        <v>28</v>
      </c>
      <c r="F1411" s="33">
        <v>167.86</v>
      </c>
      <c r="G1411" s="33">
        <v>2.0</v>
      </c>
      <c r="H1411" s="33">
        <v>78.8942</v>
      </c>
    </row>
    <row r="1412">
      <c r="A1412" s="31" t="s">
        <v>1818</v>
      </c>
      <c r="B1412" s="32">
        <v>42049.0</v>
      </c>
      <c r="C1412" s="31" t="s">
        <v>1066</v>
      </c>
      <c r="D1412" s="31" t="s">
        <v>11</v>
      </c>
      <c r="E1412" s="31" t="s">
        <v>45</v>
      </c>
      <c r="F1412" s="33">
        <v>14.952</v>
      </c>
      <c r="G1412" s="33">
        <v>2.0</v>
      </c>
      <c r="H1412" s="33">
        <v>-11.9616</v>
      </c>
    </row>
    <row r="1413">
      <c r="A1413" s="31" t="s">
        <v>1819</v>
      </c>
      <c r="B1413" s="32">
        <v>42359.0</v>
      </c>
      <c r="C1413" s="31" t="s">
        <v>1820</v>
      </c>
      <c r="D1413" s="31" t="s">
        <v>11</v>
      </c>
      <c r="E1413" s="31" t="s">
        <v>59</v>
      </c>
      <c r="F1413" s="33">
        <v>50.88</v>
      </c>
      <c r="G1413" s="33">
        <v>6.0</v>
      </c>
      <c r="H1413" s="33">
        <v>14.628</v>
      </c>
    </row>
    <row r="1414">
      <c r="A1414" s="31" t="s">
        <v>1821</v>
      </c>
      <c r="B1414" s="32">
        <v>42358.0</v>
      </c>
      <c r="C1414" s="31" t="s">
        <v>1822</v>
      </c>
      <c r="D1414" s="31" t="s">
        <v>11</v>
      </c>
      <c r="E1414" s="31" t="s">
        <v>28</v>
      </c>
      <c r="F1414" s="33">
        <v>7.92</v>
      </c>
      <c r="G1414" s="33">
        <v>1.0</v>
      </c>
      <c r="H1414" s="33">
        <v>2.772</v>
      </c>
    </row>
    <row r="1415">
      <c r="A1415" s="31" t="s">
        <v>1823</v>
      </c>
      <c r="B1415" s="32">
        <v>42335.0</v>
      </c>
      <c r="C1415" s="31" t="s">
        <v>1054</v>
      </c>
      <c r="D1415" s="31" t="s">
        <v>47</v>
      </c>
      <c r="E1415" s="31" t="s">
        <v>28</v>
      </c>
      <c r="F1415" s="33">
        <v>107.97</v>
      </c>
      <c r="G1415" s="33">
        <v>3.0</v>
      </c>
      <c r="H1415" s="33">
        <v>22.6737</v>
      </c>
    </row>
    <row r="1416">
      <c r="A1416" s="31" t="s">
        <v>1824</v>
      </c>
      <c r="B1416" s="32">
        <v>42342.0</v>
      </c>
      <c r="C1416" s="31" t="s">
        <v>1825</v>
      </c>
      <c r="D1416" s="31" t="s">
        <v>11</v>
      </c>
      <c r="E1416" s="31" t="s">
        <v>59</v>
      </c>
      <c r="F1416" s="33">
        <v>1598.058</v>
      </c>
      <c r="G1416" s="33">
        <v>7.0</v>
      </c>
      <c r="H1416" s="33">
        <v>-1065.372</v>
      </c>
    </row>
    <row r="1417">
      <c r="A1417" s="31" t="s">
        <v>1826</v>
      </c>
      <c r="B1417" s="32">
        <v>42338.0</v>
      </c>
      <c r="C1417" s="31" t="s">
        <v>1060</v>
      </c>
      <c r="D1417" s="31" t="s">
        <v>47</v>
      </c>
      <c r="E1417" s="31" t="s">
        <v>59</v>
      </c>
      <c r="F1417" s="33">
        <v>17.48</v>
      </c>
      <c r="G1417" s="33">
        <v>2.0</v>
      </c>
      <c r="H1417" s="33">
        <v>8.2156</v>
      </c>
    </row>
    <row r="1418">
      <c r="A1418" s="31" t="s">
        <v>1827</v>
      </c>
      <c r="B1418" s="32">
        <v>42302.0</v>
      </c>
      <c r="C1418" s="31" t="s">
        <v>1453</v>
      </c>
      <c r="D1418" s="31" t="s">
        <v>11</v>
      </c>
      <c r="E1418" s="31" t="s">
        <v>28</v>
      </c>
      <c r="F1418" s="33">
        <v>60.45</v>
      </c>
      <c r="G1418" s="33">
        <v>3.0</v>
      </c>
      <c r="H1418" s="33">
        <v>16.3215</v>
      </c>
    </row>
    <row r="1419">
      <c r="A1419" s="31" t="s">
        <v>1828</v>
      </c>
      <c r="B1419" s="32">
        <v>42205.0</v>
      </c>
      <c r="C1419" s="31" t="s">
        <v>1119</v>
      </c>
      <c r="D1419" s="31" t="s">
        <v>11</v>
      </c>
      <c r="E1419" s="31" t="s">
        <v>31</v>
      </c>
      <c r="F1419" s="33">
        <v>2.88</v>
      </c>
      <c r="G1419" s="33">
        <v>5.0</v>
      </c>
      <c r="H1419" s="33">
        <v>-4.464</v>
      </c>
    </row>
    <row r="1420">
      <c r="A1420" s="31" t="s">
        <v>1829</v>
      </c>
      <c r="B1420" s="32">
        <v>42190.0</v>
      </c>
      <c r="C1420" s="31" t="s">
        <v>1478</v>
      </c>
      <c r="D1420" s="31" t="s">
        <v>11</v>
      </c>
      <c r="E1420" s="31" t="s">
        <v>45</v>
      </c>
      <c r="F1420" s="33">
        <v>34.8</v>
      </c>
      <c r="G1420" s="33">
        <v>3.0</v>
      </c>
      <c r="H1420" s="33">
        <v>2.175</v>
      </c>
    </row>
    <row r="1421">
      <c r="A1421" s="31" t="s">
        <v>1830</v>
      </c>
      <c r="B1421" s="32">
        <v>42325.0</v>
      </c>
      <c r="C1421" s="31" t="s">
        <v>1831</v>
      </c>
      <c r="D1421" s="31" t="s">
        <v>11</v>
      </c>
      <c r="E1421" s="31" t="s">
        <v>31</v>
      </c>
      <c r="F1421" s="33">
        <v>40.92</v>
      </c>
      <c r="G1421" s="33">
        <v>5.0</v>
      </c>
      <c r="H1421" s="33">
        <v>3.069</v>
      </c>
    </row>
    <row r="1422">
      <c r="A1422" s="31" t="s">
        <v>1832</v>
      </c>
      <c r="B1422" s="32">
        <v>42174.0</v>
      </c>
      <c r="C1422" s="31" t="s">
        <v>1833</v>
      </c>
      <c r="D1422" s="31" t="s">
        <v>11</v>
      </c>
      <c r="E1422" s="31" t="s">
        <v>28</v>
      </c>
      <c r="F1422" s="33">
        <v>12.56</v>
      </c>
      <c r="G1422" s="33">
        <v>2.0</v>
      </c>
      <c r="H1422" s="33">
        <v>4.0192</v>
      </c>
    </row>
    <row r="1423">
      <c r="A1423" s="31" t="s">
        <v>1834</v>
      </c>
      <c r="B1423" s="32">
        <v>42250.0</v>
      </c>
      <c r="C1423" s="31" t="s">
        <v>1835</v>
      </c>
      <c r="D1423" s="31" t="s">
        <v>47</v>
      </c>
      <c r="E1423" s="31" t="s">
        <v>28</v>
      </c>
      <c r="F1423" s="33">
        <v>129.568</v>
      </c>
      <c r="G1423" s="33">
        <v>2.0</v>
      </c>
      <c r="H1423" s="33">
        <v>-12.9568</v>
      </c>
    </row>
    <row r="1424">
      <c r="A1424" s="31" t="s">
        <v>1836</v>
      </c>
      <c r="B1424" s="32">
        <v>42223.0</v>
      </c>
      <c r="C1424" s="31" t="s">
        <v>1837</v>
      </c>
      <c r="D1424" s="31" t="s">
        <v>38</v>
      </c>
      <c r="E1424" s="31" t="s">
        <v>28</v>
      </c>
      <c r="F1424" s="33">
        <v>3.304</v>
      </c>
      <c r="G1424" s="33">
        <v>1.0</v>
      </c>
      <c r="H1424" s="33">
        <v>1.1151</v>
      </c>
    </row>
    <row r="1425">
      <c r="A1425" s="31" t="s">
        <v>1838</v>
      </c>
      <c r="B1425" s="32">
        <v>42252.0</v>
      </c>
      <c r="C1425" s="31" t="s">
        <v>1839</v>
      </c>
      <c r="D1425" s="31" t="s">
        <v>47</v>
      </c>
      <c r="E1425" s="31" t="s">
        <v>31</v>
      </c>
      <c r="F1425" s="33">
        <v>16.27</v>
      </c>
      <c r="G1425" s="33">
        <v>5.0</v>
      </c>
      <c r="H1425" s="33">
        <v>-25.2185</v>
      </c>
    </row>
    <row r="1426">
      <c r="A1426" s="31" t="s">
        <v>1840</v>
      </c>
      <c r="B1426" s="32">
        <v>42082.0</v>
      </c>
      <c r="C1426" s="31" t="s">
        <v>1330</v>
      </c>
      <c r="D1426" s="31" t="s">
        <v>38</v>
      </c>
      <c r="E1426" s="31" t="s">
        <v>28</v>
      </c>
      <c r="F1426" s="33">
        <v>11.96</v>
      </c>
      <c r="G1426" s="33">
        <v>2.0</v>
      </c>
      <c r="H1426" s="33">
        <v>5.8604</v>
      </c>
    </row>
    <row r="1427">
      <c r="A1427" s="31" t="s">
        <v>1841</v>
      </c>
      <c r="B1427" s="32">
        <v>42062.0</v>
      </c>
      <c r="C1427" s="31" t="s">
        <v>1842</v>
      </c>
      <c r="D1427" s="31" t="s">
        <v>38</v>
      </c>
      <c r="E1427" s="31" t="s">
        <v>45</v>
      </c>
      <c r="F1427" s="33">
        <v>105.98</v>
      </c>
      <c r="G1427" s="33">
        <v>2.0</v>
      </c>
      <c r="H1427" s="33">
        <v>1.0598</v>
      </c>
    </row>
    <row r="1428">
      <c r="A1428" s="31" t="s">
        <v>1843</v>
      </c>
      <c r="B1428" s="32">
        <v>42197.0</v>
      </c>
      <c r="C1428" s="31" t="s">
        <v>1844</v>
      </c>
      <c r="D1428" s="31" t="s">
        <v>11</v>
      </c>
      <c r="E1428" s="31" t="s">
        <v>31</v>
      </c>
      <c r="F1428" s="33">
        <v>383.607</v>
      </c>
      <c r="G1428" s="33">
        <v>9.0</v>
      </c>
      <c r="H1428" s="33">
        <v>-5.4801</v>
      </c>
    </row>
    <row r="1429">
      <c r="A1429" s="31" t="s">
        <v>1845</v>
      </c>
      <c r="B1429" s="32">
        <v>42086.0</v>
      </c>
      <c r="C1429" s="31" t="s">
        <v>1846</v>
      </c>
      <c r="D1429" s="31" t="s">
        <v>11</v>
      </c>
      <c r="E1429" s="31" t="s">
        <v>59</v>
      </c>
      <c r="F1429" s="33">
        <v>31.56</v>
      </c>
      <c r="G1429" s="33">
        <v>4.0</v>
      </c>
      <c r="H1429" s="33">
        <v>14.202</v>
      </c>
    </row>
    <row r="1430">
      <c r="A1430" s="31" t="s">
        <v>1847</v>
      </c>
      <c r="B1430" s="32">
        <v>42342.0</v>
      </c>
      <c r="C1430" s="31" t="s">
        <v>1848</v>
      </c>
      <c r="D1430" s="31" t="s">
        <v>38</v>
      </c>
      <c r="E1430" s="31" t="s">
        <v>28</v>
      </c>
      <c r="F1430" s="33">
        <v>271.44</v>
      </c>
      <c r="G1430" s="33">
        <v>3.0</v>
      </c>
      <c r="H1430" s="33">
        <v>122.148</v>
      </c>
    </row>
    <row r="1431">
      <c r="A1431" s="31" t="s">
        <v>1849</v>
      </c>
      <c r="B1431" s="32">
        <v>42316.0</v>
      </c>
      <c r="C1431" s="31" t="s">
        <v>1850</v>
      </c>
      <c r="D1431" s="31" t="s">
        <v>11</v>
      </c>
      <c r="E1431" s="31" t="s">
        <v>31</v>
      </c>
      <c r="F1431" s="33">
        <v>10.476</v>
      </c>
      <c r="G1431" s="33">
        <v>6.0</v>
      </c>
      <c r="H1431" s="33">
        <v>-17.2854</v>
      </c>
    </row>
    <row r="1432">
      <c r="A1432" s="31" t="s">
        <v>1851</v>
      </c>
      <c r="B1432" s="32">
        <v>42149.0</v>
      </c>
      <c r="C1432" s="31" t="s">
        <v>1852</v>
      </c>
      <c r="D1432" s="31" t="s">
        <v>47</v>
      </c>
      <c r="E1432" s="31" t="s">
        <v>31</v>
      </c>
      <c r="F1432" s="33">
        <v>21.24</v>
      </c>
      <c r="G1432" s="33">
        <v>3.0</v>
      </c>
      <c r="H1432" s="33">
        <v>8.0712</v>
      </c>
    </row>
    <row r="1433">
      <c r="A1433" s="31" t="s">
        <v>1853</v>
      </c>
      <c r="B1433" s="32">
        <v>42164.0</v>
      </c>
      <c r="C1433" s="31" t="s">
        <v>1854</v>
      </c>
      <c r="D1433" s="31" t="s">
        <v>47</v>
      </c>
      <c r="E1433" s="31" t="s">
        <v>59</v>
      </c>
      <c r="F1433" s="33">
        <v>113.1</v>
      </c>
      <c r="G1433" s="33">
        <v>3.0</v>
      </c>
      <c r="H1433" s="33">
        <v>56.55</v>
      </c>
    </row>
    <row r="1434">
      <c r="A1434" s="31" t="s">
        <v>1855</v>
      </c>
      <c r="B1434" s="32">
        <v>42216.0</v>
      </c>
      <c r="C1434" s="31" t="s">
        <v>1856</v>
      </c>
      <c r="D1434" s="31" t="s">
        <v>38</v>
      </c>
      <c r="E1434" s="31" t="s">
        <v>59</v>
      </c>
      <c r="F1434" s="33">
        <v>239.7</v>
      </c>
      <c r="G1434" s="33">
        <v>6.0</v>
      </c>
      <c r="H1434" s="33">
        <v>105.468</v>
      </c>
    </row>
    <row r="1435">
      <c r="A1435" s="31" t="s">
        <v>1857</v>
      </c>
      <c r="B1435" s="32">
        <v>42201.0</v>
      </c>
      <c r="C1435" s="31" t="s">
        <v>1858</v>
      </c>
      <c r="D1435" s="31" t="s">
        <v>47</v>
      </c>
      <c r="E1435" s="31" t="s">
        <v>45</v>
      </c>
      <c r="F1435" s="33">
        <v>150.98</v>
      </c>
      <c r="G1435" s="33">
        <v>1.0</v>
      </c>
      <c r="H1435" s="33">
        <v>43.7842</v>
      </c>
    </row>
    <row r="1436">
      <c r="A1436" s="31" t="s">
        <v>1859</v>
      </c>
      <c r="B1436" s="32">
        <v>42150.0</v>
      </c>
      <c r="C1436" s="31" t="s">
        <v>1860</v>
      </c>
      <c r="D1436" s="31" t="s">
        <v>47</v>
      </c>
      <c r="E1436" s="31" t="s">
        <v>59</v>
      </c>
      <c r="F1436" s="33">
        <v>18.272</v>
      </c>
      <c r="G1436" s="33">
        <v>1.0</v>
      </c>
      <c r="H1436" s="33">
        <v>5.9384</v>
      </c>
    </row>
    <row r="1437">
      <c r="A1437" s="31" t="s">
        <v>1861</v>
      </c>
      <c r="B1437" s="32">
        <v>42152.0</v>
      </c>
      <c r="C1437" s="31" t="s">
        <v>1862</v>
      </c>
      <c r="D1437" s="31" t="s">
        <v>11</v>
      </c>
      <c r="E1437" s="31" t="s">
        <v>45</v>
      </c>
      <c r="F1437" s="33">
        <v>45.99</v>
      </c>
      <c r="G1437" s="33">
        <v>1.0</v>
      </c>
      <c r="H1437" s="33">
        <v>13.3371</v>
      </c>
    </row>
    <row r="1438">
      <c r="A1438" s="31" t="s">
        <v>1863</v>
      </c>
      <c r="B1438" s="32">
        <v>42251.0</v>
      </c>
      <c r="C1438" s="31" t="s">
        <v>1097</v>
      </c>
      <c r="D1438" s="31" t="s">
        <v>38</v>
      </c>
      <c r="E1438" s="31" t="s">
        <v>31</v>
      </c>
      <c r="F1438" s="33">
        <v>134.376</v>
      </c>
      <c r="G1438" s="33">
        <v>3.0</v>
      </c>
      <c r="H1438" s="33">
        <v>6.7188</v>
      </c>
    </row>
    <row r="1439">
      <c r="A1439" s="31" t="s">
        <v>1864</v>
      </c>
      <c r="B1439" s="32">
        <v>42268.0</v>
      </c>
      <c r="C1439" s="31" t="s">
        <v>1318</v>
      </c>
      <c r="D1439" s="31" t="s">
        <v>47</v>
      </c>
      <c r="E1439" s="31" t="s">
        <v>45</v>
      </c>
      <c r="F1439" s="33">
        <v>589.9</v>
      </c>
      <c r="G1439" s="33">
        <v>2.0</v>
      </c>
      <c r="H1439" s="33">
        <v>147.475</v>
      </c>
    </row>
    <row r="1440">
      <c r="A1440" s="31" t="s">
        <v>1865</v>
      </c>
      <c r="B1440" s="32">
        <v>42282.0</v>
      </c>
      <c r="C1440" s="31" t="s">
        <v>1160</v>
      </c>
      <c r="D1440" s="31" t="s">
        <v>38</v>
      </c>
      <c r="E1440" s="31" t="s">
        <v>45</v>
      </c>
      <c r="F1440" s="33">
        <v>77.55</v>
      </c>
      <c r="G1440" s="33">
        <v>5.0</v>
      </c>
      <c r="H1440" s="33">
        <v>21.714</v>
      </c>
    </row>
    <row r="1441">
      <c r="A1441" s="31" t="s">
        <v>1866</v>
      </c>
      <c r="B1441" s="32">
        <v>42292.0</v>
      </c>
      <c r="C1441" s="31" t="s">
        <v>1578</v>
      </c>
      <c r="D1441" s="31" t="s">
        <v>11</v>
      </c>
      <c r="E1441" s="31" t="s">
        <v>31</v>
      </c>
      <c r="F1441" s="33">
        <v>17.14</v>
      </c>
      <c r="G1441" s="33">
        <v>2.0</v>
      </c>
      <c r="H1441" s="33">
        <v>6.1704</v>
      </c>
    </row>
    <row r="1442">
      <c r="A1442" s="31" t="s">
        <v>1867</v>
      </c>
      <c r="B1442" s="32">
        <v>42237.0</v>
      </c>
      <c r="C1442" s="31" t="s">
        <v>1097</v>
      </c>
      <c r="D1442" s="31" t="s">
        <v>38</v>
      </c>
      <c r="E1442" s="31" t="s">
        <v>28</v>
      </c>
      <c r="F1442" s="33">
        <v>586.398</v>
      </c>
      <c r="G1442" s="33">
        <v>6.0</v>
      </c>
      <c r="H1442" s="33">
        <v>34.494</v>
      </c>
    </row>
    <row r="1443">
      <c r="A1443" s="31" t="s">
        <v>1868</v>
      </c>
      <c r="B1443" s="32">
        <v>42218.0</v>
      </c>
      <c r="C1443" s="31" t="s">
        <v>1869</v>
      </c>
      <c r="D1443" s="31" t="s">
        <v>11</v>
      </c>
      <c r="E1443" s="31" t="s">
        <v>28</v>
      </c>
      <c r="F1443" s="33">
        <v>6.368</v>
      </c>
      <c r="G1443" s="33">
        <v>2.0</v>
      </c>
      <c r="H1443" s="33">
        <v>2.1492</v>
      </c>
    </row>
    <row r="1444">
      <c r="A1444" s="31" t="s">
        <v>1870</v>
      </c>
      <c r="B1444" s="32">
        <v>42127.0</v>
      </c>
      <c r="C1444" s="31" t="s">
        <v>1871</v>
      </c>
      <c r="D1444" s="31" t="s">
        <v>11</v>
      </c>
      <c r="E1444" s="31" t="s">
        <v>45</v>
      </c>
      <c r="F1444" s="33">
        <v>59.904</v>
      </c>
      <c r="G1444" s="33">
        <v>2.0</v>
      </c>
      <c r="H1444" s="33">
        <v>14.2272</v>
      </c>
    </row>
    <row r="1445">
      <c r="A1445" s="31" t="s">
        <v>1872</v>
      </c>
      <c r="B1445" s="32">
        <v>42355.0</v>
      </c>
      <c r="C1445" s="31" t="s">
        <v>1873</v>
      </c>
      <c r="D1445" s="31" t="s">
        <v>11</v>
      </c>
      <c r="E1445" s="31" t="s">
        <v>31</v>
      </c>
      <c r="F1445" s="33">
        <v>29.52</v>
      </c>
      <c r="G1445" s="33">
        <v>4.0</v>
      </c>
      <c r="H1445" s="33">
        <v>14.4648</v>
      </c>
    </row>
    <row r="1446">
      <c r="A1446" s="31" t="s">
        <v>1874</v>
      </c>
      <c r="B1446" s="32">
        <v>42136.0</v>
      </c>
      <c r="C1446" s="31" t="s">
        <v>1875</v>
      </c>
      <c r="D1446" s="31" t="s">
        <v>11</v>
      </c>
      <c r="E1446" s="31" t="s">
        <v>28</v>
      </c>
      <c r="F1446" s="33">
        <v>201.584</v>
      </c>
      <c r="G1446" s="33">
        <v>2.0</v>
      </c>
      <c r="H1446" s="33">
        <v>20.1584</v>
      </c>
    </row>
    <row r="1447">
      <c r="A1447" s="31" t="s">
        <v>1876</v>
      </c>
      <c r="B1447" s="32">
        <v>42350.0</v>
      </c>
      <c r="C1447" s="31" t="s">
        <v>1082</v>
      </c>
      <c r="D1447" s="31" t="s">
        <v>11</v>
      </c>
      <c r="E1447" s="31" t="s">
        <v>45</v>
      </c>
      <c r="F1447" s="33">
        <v>8.22</v>
      </c>
      <c r="G1447" s="33">
        <v>3.0</v>
      </c>
      <c r="H1447" s="33">
        <v>2.2194</v>
      </c>
    </row>
    <row r="1448">
      <c r="A1448" s="31" t="s">
        <v>1877</v>
      </c>
      <c r="B1448" s="32">
        <v>42287.0</v>
      </c>
      <c r="C1448" s="31" t="s">
        <v>1162</v>
      </c>
      <c r="D1448" s="31" t="s">
        <v>38</v>
      </c>
      <c r="E1448" s="31" t="s">
        <v>28</v>
      </c>
      <c r="F1448" s="33">
        <v>45.36</v>
      </c>
      <c r="G1448" s="33">
        <v>7.0</v>
      </c>
      <c r="H1448" s="33">
        <v>21.7728</v>
      </c>
    </row>
    <row r="1449">
      <c r="A1449" s="31" t="s">
        <v>1878</v>
      </c>
      <c r="B1449" s="32">
        <v>42112.0</v>
      </c>
      <c r="C1449" s="31" t="s">
        <v>1662</v>
      </c>
      <c r="D1449" s="31" t="s">
        <v>47</v>
      </c>
      <c r="E1449" s="31" t="s">
        <v>28</v>
      </c>
      <c r="F1449" s="33">
        <v>947.17</v>
      </c>
      <c r="G1449" s="33">
        <v>7.0</v>
      </c>
      <c r="H1449" s="33">
        <v>9.4717</v>
      </c>
    </row>
    <row r="1450">
      <c r="A1450" s="31" t="s">
        <v>1879</v>
      </c>
      <c r="B1450" s="32">
        <v>42092.0</v>
      </c>
      <c r="C1450" s="31" t="s">
        <v>1520</v>
      </c>
      <c r="D1450" s="31" t="s">
        <v>11</v>
      </c>
      <c r="E1450" s="31" t="s">
        <v>28</v>
      </c>
      <c r="F1450" s="33">
        <v>212.64</v>
      </c>
      <c r="G1450" s="33">
        <v>6.0</v>
      </c>
      <c r="H1450" s="33">
        <v>99.9408</v>
      </c>
    </row>
    <row r="1451">
      <c r="A1451" s="31" t="s">
        <v>1880</v>
      </c>
      <c r="B1451" s="32">
        <v>42168.0</v>
      </c>
      <c r="C1451" s="31" t="s">
        <v>1741</v>
      </c>
      <c r="D1451" s="31" t="s">
        <v>47</v>
      </c>
      <c r="E1451" s="31" t="s">
        <v>45</v>
      </c>
      <c r="F1451" s="33">
        <v>8.26</v>
      </c>
      <c r="G1451" s="33">
        <v>2.0</v>
      </c>
      <c r="H1451" s="33">
        <v>3.8822</v>
      </c>
    </row>
    <row r="1452">
      <c r="A1452" s="31" t="s">
        <v>1881</v>
      </c>
      <c r="B1452" s="32">
        <v>42053.0</v>
      </c>
      <c r="C1452" s="31" t="s">
        <v>1882</v>
      </c>
      <c r="D1452" s="31" t="s">
        <v>11</v>
      </c>
      <c r="E1452" s="31" t="s">
        <v>28</v>
      </c>
      <c r="F1452" s="33">
        <v>61.06</v>
      </c>
      <c r="G1452" s="33">
        <v>2.0</v>
      </c>
      <c r="H1452" s="33">
        <v>28.0876</v>
      </c>
    </row>
    <row r="1453">
      <c r="A1453" s="31" t="s">
        <v>1883</v>
      </c>
      <c r="B1453" s="32">
        <v>42350.0</v>
      </c>
      <c r="C1453" s="31" t="s">
        <v>1095</v>
      </c>
      <c r="D1453" s="31" t="s">
        <v>11</v>
      </c>
      <c r="E1453" s="31" t="s">
        <v>31</v>
      </c>
      <c r="F1453" s="33">
        <v>22.368</v>
      </c>
      <c r="G1453" s="33">
        <v>4.0</v>
      </c>
      <c r="H1453" s="33">
        <v>6.4308</v>
      </c>
    </row>
    <row r="1454">
      <c r="A1454" s="31" t="s">
        <v>1884</v>
      </c>
      <c r="B1454" s="32">
        <v>42118.0</v>
      </c>
      <c r="C1454" s="31" t="s">
        <v>1596</v>
      </c>
      <c r="D1454" s="31" t="s">
        <v>47</v>
      </c>
      <c r="E1454" s="31" t="s">
        <v>45</v>
      </c>
      <c r="F1454" s="33">
        <v>25.99</v>
      </c>
      <c r="G1454" s="33">
        <v>1.0</v>
      </c>
      <c r="H1454" s="33">
        <v>7.5371</v>
      </c>
    </row>
    <row r="1455">
      <c r="A1455" s="31" t="s">
        <v>1885</v>
      </c>
      <c r="B1455" s="32">
        <v>42072.0</v>
      </c>
      <c r="C1455" s="31" t="s">
        <v>1837</v>
      </c>
      <c r="D1455" s="31" t="s">
        <v>38</v>
      </c>
      <c r="E1455" s="31" t="s">
        <v>31</v>
      </c>
      <c r="F1455" s="33">
        <v>113.52</v>
      </c>
      <c r="G1455" s="33">
        <v>5.0</v>
      </c>
      <c r="H1455" s="33">
        <v>29.799</v>
      </c>
    </row>
    <row r="1456">
      <c r="A1456" s="31" t="s">
        <v>1886</v>
      </c>
      <c r="B1456" s="32">
        <v>42349.0</v>
      </c>
      <c r="C1456" s="31" t="s">
        <v>1282</v>
      </c>
      <c r="D1456" s="31" t="s">
        <v>11</v>
      </c>
      <c r="E1456" s="31" t="s">
        <v>28</v>
      </c>
      <c r="F1456" s="33">
        <v>13.12</v>
      </c>
      <c r="G1456" s="33">
        <v>5.0</v>
      </c>
      <c r="H1456" s="33">
        <v>1.148</v>
      </c>
    </row>
    <row r="1457">
      <c r="A1457" s="31" t="s">
        <v>1887</v>
      </c>
      <c r="B1457" s="32">
        <v>42184.0</v>
      </c>
      <c r="C1457" s="31" t="s">
        <v>1888</v>
      </c>
      <c r="D1457" s="31" t="s">
        <v>11</v>
      </c>
      <c r="E1457" s="31" t="s">
        <v>45</v>
      </c>
      <c r="F1457" s="33">
        <v>24.96</v>
      </c>
      <c r="G1457" s="33">
        <v>4.0</v>
      </c>
      <c r="H1457" s="33">
        <v>11.232</v>
      </c>
    </row>
    <row r="1458">
      <c r="A1458" s="31" t="s">
        <v>1889</v>
      </c>
      <c r="B1458" s="32">
        <v>42079.0</v>
      </c>
      <c r="C1458" s="31" t="s">
        <v>1890</v>
      </c>
      <c r="D1458" s="31" t="s">
        <v>38</v>
      </c>
      <c r="E1458" s="31" t="s">
        <v>28</v>
      </c>
      <c r="F1458" s="33">
        <v>43.13</v>
      </c>
      <c r="G1458" s="33">
        <v>1.0</v>
      </c>
      <c r="H1458" s="33">
        <v>18.1146</v>
      </c>
    </row>
    <row r="1459">
      <c r="A1459" s="31" t="s">
        <v>1891</v>
      </c>
      <c r="B1459" s="32">
        <v>42229.0</v>
      </c>
      <c r="C1459" s="31" t="s">
        <v>1434</v>
      </c>
      <c r="D1459" s="31" t="s">
        <v>11</v>
      </c>
      <c r="E1459" s="31" t="s">
        <v>59</v>
      </c>
      <c r="F1459" s="33">
        <v>5.64</v>
      </c>
      <c r="G1459" s="33">
        <v>3.0</v>
      </c>
      <c r="H1459" s="33">
        <v>2.7072</v>
      </c>
    </row>
    <row r="1460">
      <c r="A1460" s="31" t="s">
        <v>1892</v>
      </c>
      <c r="B1460" s="32">
        <v>42330.0</v>
      </c>
      <c r="C1460" s="31" t="s">
        <v>1712</v>
      </c>
      <c r="D1460" s="31" t="s">
        <v>11</v>
      </c>
      <c r="E1460" s="31" t="s">
        <v>28</v>
      </c>
      <c r="F1460" s="33">
        <v>37.94</v>
      </c>
      <c r="G1460" s="33">
        <v>2.0</v>
      </c>
      <c r="H1460" s="33">
        <v>18.2112</v>
      </c>
    </row>
    <row r="1461">
      <c r="A1461" s="31" t="s">
        <v>1893</v>
      </c>
      <c r="B1461" s="32">
        <v>42365.0</v>
      </c>
      <c r="C1461" s="31" t="s">
        <v>1894</v>
      </c>
      <c r="D1461" s="31" t="s">
        <v>11</v>
      </c>
      <c r="E1461" s="31" t="s">
        <v>31</v>
      </c>
      <c r="F1461" s="33">
        <v>195.64</v>
      </c>
      <c r="G1461" s="33">
        <v>4.0</v>
      </c>
      <c r="H1461" s="33">
        <v>91.9508</v>
      </c>
    </row>
    <row r="1462">
      <c r="A1462" s="31" t="s">
        <v>1895</v>
      </c>
      <c r="B1462" s="32">
        <v>42101.0</v>
      </c>
      <c r="C1462" s="31" t="s">
        <v>1726</v>
      </c>
      <c r="D1462" s="31" t="s">
        <v>11</v>
      </c>
      <c r="E1462" s="31" t="s">
        <v>31</v>
      </c>
      <c r="F1462" s="33">
        <v>463.248</v>
      </c>
      <c r="G1462" s="33">
        <v>8.0</v>
      </c>
      <c r="H1462" s="33">
        <v>-1181.2824</v>
      </c>
    </row>
    <row r="1463">
      <c r="A1463" s="31" t="s">
        <v>1896</v>
      </c>
      <c r="B1463" s="32">
        <v>42208.0</v>
      </c>
      <c r="C1463" s="31" t="s">
        <v>1172</v>
      </c>
      <c r="D1463" s="31" t="s">
        <v>11</v>
      </c>
      <c r="E1463" s="31" t="s">
        <v>45</v>
      </c>
      <c r="F1463" s="33">
        <v>10.512</v>
      </c>
      <c r="G1463" s="33">
        <v>3.0</v>
      </c>
      <c r="H1463" s="33">
        <v>3.6792</v>
      </c>
    </row>
    <row r="1464">
      <c r="A1464" s="31" t="s">
        <v>1897</v>
      </c>
      <c r="B1464" s="32">
        <v>42017.0</v>
      </c>
      <c r="C1464" s="31" t="s">
        <v>1244</v>
      </c>
      <c r="D1464" s="31" t="s">
        <v>11</v>
      </c>
      <c r="E1464" s="31" t="s">
        <v>28</v>
      </c>
      <c r="F1464" s="33">
        <v>70.008</v>
      </c>
      <c r="G1464" s="33">
        <v>3.0</v>
      </c>
      <c r="H1464" s="33">
        <v>24.5028</v>
      </c>
    </row>
    <row r="1465">
      <c r="A1465" s="31" t="s">
        <v>1898</v>
      </c>
      <c r="B1465" s="32">
        <v>42271.0</v>
      </c>
      <c r="C1465" s="31" t="s">
        <v>1899</v>
      </c>
      <c r="D1465" s="31" t="s">
        <v>11</v>
      </c>
      <c r="E1465" s="31" t="s">
        <v>28</v>
      </c>
      <c r="F1465" s="33">
        <v>35.96</v>
      </c>
      <c r="G1465" s="33">
        <v>2.0</v>
      </c>
      <c r="H1465" s="33">
        <v>10.4284</v>
      </c>
    </row>
    <row r="1466">
      <c r="A1466" s="31" t="s">
        <v>1900</v>
      </c>
      <c r="B1466" s="32">
        <v>42275.0</v>
      </c>
      <c r="C1466" s="31" t="s">
        <v>1436</v>
      </c>
      <c r="D1466" s="31" t="s">
        <v>11</v>
      </c>
      <c r="E1466" s="31" t="s">
        <v>28</v>
      </c>
      <c r="F1466" s="33">
        <v>12.536</v>
      </c>
      <c r="G1466" s="33">
        <v>1.0</v>
      </c>
      <c r="H1466" s="33">
        <v>4.2309</v>
      </c>
    </row>
    <row r="1467">
      <c r="A1467" s="31" t="s">
        <v>1901</v>
      </c>
      <c r="B1467" s="32">
        <v>42078.0</v>
      </c>
      <c r="C1467" s="31" t="s">
        <v>1902</v>
      </c>
      <c r="D1467" s="31" t="s">
        <v>38</v>
      </c>
      <c r="E1467" s="31" t="s">
        <v>28</v>
      </c>
      <c r="F1467" s="33">
        <v>16.776</v>
      </c>
      <c r="G1467" s="33">
        <v>3.0</v>
      </c>
      <c r="H1467" s="33">
        <v>1.6776</v>
      </c>
    </row>
    <row r="1468">
      <c r="A1468" s="31" t="s">
        <v>1903</v>
      </c>
      <c r="B1468" s="32">
        <v>42041.0</v>
      </c>
      <c r="C1468" s="31" t="s">
        <v>1904</v>
      </c>
      <c r="D1468" s="31" t="s">
        <v>11</v>
      </c>
      <c r="E1468" s="31" t="s">
        <v>45</v>
      </c>
      <c r="F1468" s="33">
        <v>1268.82</v>
      </c>
      <c r="G1468" s="33">
        <v>9.0</v>
      </c>
      <c r="H1468" s="33">
        <v>266.4522</v>
      </c>
    </row>
    <row r="1469">
      <c r="A1469" s="31" t="s">
        <v>1905</v>
      </c>
      <c r="B1469" s="32">
        <v>42164.0</v>
      </c>
      <c r="C1469" s="31" t="s">
        <v>1906</v>
      </c>
      <c r="D1469" s="31" t="s">
        <v>11</v>
      </c>
      <c r="E1469" s="31" t="s">
        <v>31</v>
      </c>
      <c r="F1469" s="33">
        <v>12.96</v>
      </c>
      <c r="G1469" s="33">
        <v>2.0</v>
      </c>
      <c r="H1469" s="33">
        <v>6.2208</v>
      </c>
    </row>
    <row r="1470">
      <c r="A1470" s="31" t="s">
        <v>1907</v>
      </c>
      <c r="B1470" s="32">
        <v>42079.0</v>
      </c>
      <c r="C1470" s="31" t="s">
        <v>1091</v>
      </c>
      <c r="D1470" s="31" t="s">
        <v>38</v>
      </c>
      <c r="E1470" s="31" t="s">
        <v>45</v>
      </c>
      <c r="F1470" s="33">
        <v>85.9</v>
      </c>
      <c r="G1470" s="33">
        <v>2.0</v>
      </c>
      <c r="H1470" s="33">
        <v>2.577</v>
      </c>
    </row>
    <row r="1471">
      <c r="A1471" s="31" t="s">
        <v>1908</v>
      </c>
      <c r="B1471" s="32">
        <v>42083.0</v>
      </c>
      <c r="C1471" s="31" t="s">
        <v>1232</v>
      </c>
      <c r="D1471" s="31" t="s">
        <v>11</v>
      </c>
      <c r="E1471" s="31" t="s">
        <v>31</v>
      </c>
      <c r="F1471" s="33">
        <v>2.512</v>
      </c>
      <c r="G1471" s="33">
        <v>2.0</v>
      </c>
      <c r="H1471" s="33">
        <v>-4.396</v>
      </c>
    </row>
    <row r="1472">
      <c r="A1472" s="31" t="s">
        <v>1909</v>
      </c>
      <c r="B1472" s="32">
        <v>42149.0</v>
      </c>
      <c r="C1472" s="31" t="s">
        <v>1910</v>
      </c>
      <c r="D1472" s="31" t="s">
        <v>38</v>
      </c>
      <c r="E1472" s="31" t="s">
        <v>59</v>
      </c>
      <c r="F1472" s="33">
        <v>467.04</v>
      </c>
      <c r="G1472" s="33">
        <v>4.0</v>
      </c>
      <c r="H1472" s="33">
        <v>58.38</v>
      </c>
    </row>
    <row r="1473">
      <c r="A1473" s="31" t="s">
        <v>1911</v>
      </c>
      <c r="B1473" s="32">
        <v>42218.0</v>
      </c>
      <c r="C1473" s="31" t="s">
        <v>1912</v>
      </c>
      <c r="D1473" s="31" t="s">
        <v>47</v>
      </c>
      <c r="E1473" s="31" t="s">
        <v>45</v>
      </c>
      <c r="F1473" s="33">
        <v>128.85</v>
      </c>
      <c r="G1473" s="33">
        <v>3.0</v>
      </c>
      <c r="H1473" s="33">
        <v>3.8655</v>
      </c>
    </row>
    <row r="1474">
      <c r="A1474" s="31" t="s">
        <v>1913</v>
      </c>
      <c r="B1474" s="32">
        <v>42265.0</v>
      </c>
      <c r="C1474" s="31" t="s">
        <v>1914</v>
      </c>
      <c r="D1474" s="31" t="s">
        <v>38</v>
      </c>
      <c r="E1474" s="31" t="s">
        <v>59</v>
      </c>
      <c r="F1474" s="33">
        <v>717.12</v>
      </c>
      <c r="G1474" s="33">
        <v>9.0</v>
      </c>
      <c r="H1474" s="33">
        <v>152.388</v>
      </c>
    </row>
    <row r="1475">
      <c r="A1475" s="31" t="s">
        <v>1915</v>
      </c>
      <c r="B1475" s="32">
        <v>42345.0</v>
      </c>
      <c r="C1475" s="31" t="s">
        <v>1103</v>
      </c>
      <c r="D1475" s="31" t="s">
        <v>11</v>
      </c>
      <c r="E1475" s="31" t="s">
        <v>45</v>
      </c>
      <c r="F1475" s="33">
        <v>21.36</v>
      </c>
      <c r="G1475" s="33">
        <v>5.0</v>
      </c>
      <c r="H1475" s="33">
        <v>7.209</v>
      </c>
    </row>
    <row r="1476">
      <c r="A1476" s="31" t="s">
        <v>1916</v>
      </c>
      <c r="B1476" s="32">
        <v>42253.0</v>
      </c>
      <c r="C1476" s="31" t="s">
        <v>1917</v>
      </c>
      <c r="D1476" s="31" t="s">
        <v>38</v>
      </c>
      <c r="E1476" s="31" t="s">
        <v>59</v>
      </c>
      <c r="F1476" s="33">
        <v>7.24</v>
      </c>
      <c r="G1476" s="33">
        <v>5.0</v>
      </c>
      <c r="H1476" s="33">
        <v>1.1765</v>
      </c>
    </row>
    <row r="1477">
      <c r="A1477" s="31" t="s">
        <v>1918</v>
      </c>
      <c r="B1477" s="32">
        <v>42356.0</v>
      </c>
      <c r="C1477" s="31" t="s">
        <v>1919</v>
      </c>
      <c r="D1477" s="31" t="s">
        <v>38</v>
      </c>
      <c r="E1477" s="31" t="s">
        <v>59</v>
      </c>
      <c r="F1477" s="33">
        <v>55.936</v>
      </c>
      <c r="G1477" s="33">
        <v>8.0</v>
      </c>
      <c r="H1477" s="33">
        <v>18.8784</v>
      </c>
    </row>
    <row r="1478">
      <c r="A1478" s="31" t="s">
        <v>1920</v>
      </c>
      <c r="B1478" s="32">
        <v>42318.0</v>
      </c>
      <c r="C1478" s="31" t="s">
        <v>1921</v>
      </c>
      <c r="D1478" s="31" t="s">
        <v>38</v>
      </c>
      <c r="E1478" s="31" t="s">
        <v>31</v>
      </c>
      <c r="F1478" s="33">
        <v>714.3</v>
      </c>
      <c r="G1478" s="33">
        <v>5.0</v>
      </c>
      <c r="H1478" s="33">
        <v>207.147</v>
      </c>
    </row>
    <row r="1479">
      <c r="A1479" s="31" t="s">
        <v>1922</v>
      </c>
      <c r="B1479" s="32">
        <v>42317.0</v>
      </c>
      <c r="C1479" s="31" t="s">
        <v>1650</v>
      </c>
      <c r="D1479" s="31" t="s">
        <v>47</v>
      </c>
      <c r="E1479" s="31" t="s">
        <v>45</v>
      </c>
      <c r="F1479" s="33">
        <v>2321.9</v>
      </c>
      <c r="G1479" s="33">
        <v>2.0</v>
      </c>
      <c r="H1479" s="33">
        <v>1114.512</v>
      </c>
    </row>
    <row r="1480">
      <c r="A1480" s="31" t="s">
        <v>1923</v>
      </c>
      <c r="B1480" s="32">
        <v>42254.0</v>
      </c>
      <c r="C1480" s="31" t="s">
        <v>1924</v>
      </c>
      <c r="D1480" s="31" t="s">
        <v>38</v>
      </c>
      <c r="E1480" s="31" t="s">
        <v>45</v>
      </c>
      <c r="F1480" s="33">
        <v>9.522</v>
      </c>
      <c r="G1480" s="33">
        <v>1.0</v>
      </c>
      <c r="H1480" s="33">
        <v>-6.9828</v>
      </c>
    </row>
    <row r="1481">
      <c r="A1481" s="31" t="s">
        <v>1925</v>
      </c>
      <c r="B1481" s="32">
        <v>42225.0</v>
      </c>
      <c r="C1481" s="31" t="s">
        <v>1926</v>
      </c>
      <c r="D1481" s="31" t="s">
        <v>47</v>
      </c>
      <c r="E1481" s="31" t="s">
        <v>31</v>
      </c>
      <c r="F1481" s="33">
        <v>687.4</v>
      </c>
      <c r="G1481" s="33">
        <v>5.0</v>
      </c>
      <c r="H1481" s="33">
        <v>48.118</v>
      </c>
    </row>
    <row r="1482">
      <c r="A1482" s="31" t="s">
        <v>1927</v>
      </c>
      <c r="B1482" s="32">
        <v>42196.0</v>
      </c>
      <c r="C1482" s="31" t="s">
        <v>1618</v>
      </c>
      <c r="D1482" s="31" t="s">
        <v>38</v>
      </c>
      <c r="E1482" s="31" t="s">
        <v>45</v>
      </c>
      <c r="F1482" s="33">
        <v>199.836</v>
      </c>
      <c r="G1482" s="33">
        <v>4.0</v>
      </c>
      <c r="H1482" s="33">
        <v>-37.1124</v>
      </c>
    </row>
    <row r="1483">
      <c r="A1483" s="31" t="s">
        <v>1928</v>
      </c>
      <c r="B1483" s="32">
        <v>42265.0</v>
      </c>
      <c r="C1483" s="31" t="s">
        <v>1929</v>
      </c>
      <c r="D1483" s="31" t="s">
        <v>47</v>
      </c>
      <c r="E1483" s="31" t="s">
        <v>28</v>
      </c>
      <c r="F1483" s="33">
        <v>18.54</v>
      </c>
      <c r="G1483" s="33">
        <v>2.0</v>
      </c>
      <c r="H1483" s="33">
        <v>8.7138</v>
      </c>
    </row>
    <row r="1484">
      <c r="A1484" s="31" t="s">
        <v>1930</v>
      </c>
      <c r="B1484" s="32">
        <v>42315.0</v>
      </c>
      <c r="C1484" s="31" t="s">
        <v>1144</v>
      </c>
      <c r="D1484" s="31" t="s">
        <v>38</v>
      </c>
      <c r="E1484" s="31" t="s">
        <v>45</v>
      </c>
      <c r="F1484" s="33">
        <v>24.4</v>
      </c>
      <c r="G1484" s="33">
        <v>2.0</v>
      </c>
      <c r="H1484" s="33">
        <v>7.93</v>
      </c>
    </row>
    <row r="1485">
      <c r="A1485" s="31" t="s">
        <v>1931</v>
      </c>
      <c r="B1485" s="32">
        <v>42007.0</v>
      </c>
      <c r="C1485" s="31" t="s">
        <v>1932</v>
      </c>
      <c r="D1485" s="31" t="s">
        <v>11</v>
      </c>
      <c r="E1485" s="31" t="s">
        <v>31</v>
      </c>
      <c r="F1485" s="33">
        <v>398.4</v>
      </c>
      <c r="G1485" s="33">
        <v>5.0</v>
      </c>
      <c r="H1485" s="33">
        <v>84.66</v>
      </c>
    </row>
    <row r="1486">
      <c r="A1486" s="31" t="s">
        <v>1933</v>
      </c>
      <c r="B1486" s="32">
        <v>42255.0</v>
      </c>
      <c r="C1486" s="31" t="s">
        <v>1322</v>
      </c>
      <c r="D1486" s="31" t="s">
        <v>11</v>
      </c>
      <c r="E1486" s="31" t="s">
        <v>28</v>
      </c>
      <c r="F1486" s="33">
        <v>26.4</v>
      </c>
      <c r="G1486" s="33">
        <v>5.0</v>
      </c>
      <c r="H1486" s="33">
        <v>11.88</v>
      </c>
    </row>
    <row r="1487">
      <c r="A1487" s="31" t="s">
        <v>1934</v>
      </c>
      <c r="B1487" s="32">
        <v>42132.0</v>
      </c>
      <c r="C1487" s="31" t="s">
        <v>1216</v>
      </c>
      <c r="D1487" s="31" t="s">
        <v>11</v>
      </c>
      <c r="E1487" s="31" t="s">
        <v>31</v>
      </c>
      <c r="F1487" s="33">
        <v>43.98</v>
      </c>
      <c r="G1487" s="33">
        <v>2.0</v>
      </c>
      <c r="H1487" s="33">
        <v>21.99</v>
      </c>
    </row>
    <row r="1488">
      <c r="A1488" s="31" t="s">
        <v>1935</v>
      </c>
      <c r="B1488" s="32">
        <v>42313.0</v>
      </c>
      <c r="C1488" s="31" t="s">
        <v>1472</v>
      </c>
      <c r="D1488" s="31" t="s">
        <v>11</v>
      </c>
      <c r="E1488" s="31" t="s">
        <v>28</v>
      </c>
      <c r="F1488" s="33">
        <v>62.8</v>
      </c>
      <c r="G1488" s="33">
        <v>4.0</v>
      </c>
      <c r="H1488" s="33">
        <v>15.7</v>
      </c>
    </row>
    <row r="1489">
      <c r="A1489" s="31" t="s">
        <v>1936</v>
      </c>
      <c r="B1489" s="32">
        <v>42356.0</v>
      </c>
      <c r="C1489" s="31" t="s">
        <v>1085</v>
      </c>
      <c r="D1489" s="31" t="s">
        <v>47</v>
      </c>
      <c r="E1489" s="31" t="s">
        <v>45</v>
      </c>
      <c r="F1489" s="33">
        <v>20.736</v>
      </c>
      <c r="G1489" s="33">
        <v>4.0</v>
      </c>
      <c r="H1489" s="33">
        <v>7.2576</v>
      </c>
    </row>
    <row r="1490">
      <c r="A1490" s="31" t="s">
        <v>1937</v>
      </c>
      <c r="B1490" s="32">
        <v>42174.0</v>
      </c>
      <c r="C1490" s="31" t="s">
        <v>1938</v>
      </c>
      <c r="D1490" s="31" t="s">
        <v>47</v>
      </c>
      <c r="E1490" s="31" t="s">
        <v>31</v>
      </c>
      <c r="F1490" s="33">
        <v>5.792</v>
      </c>
      <c r="G1490" s="33">
        <v>2.0</v>
      </c>
      <c r="H1490" s="33">
        <v>-9.5568</v>
      </c>
    </row>
    <row r="1491">
      <c r="A1491" s="31" t="s">
        <v>1939</v>
      </c>
      <c r="B1491" s="32">
        <v>42068.0</v>
      </c>
      <c r="C1491" s="31" t="s">
        <v>1940</v>
      </c>
      <c r="D1491" s="31" t="s">
        <v>38</v>
      </c>
      <c r="E1491" s="31" t="s">
        <v>45</v>
      </c>
      <c r="F1491" s="33">
        <v>466.158</v>
      </c>
      <c r="G1491" s="33">
        <v>7.0</v>
      </c>
      <c r="H1491" s="33">
        <v>-93.2316</v>
      </c>
    </row>
    <row r="1492">
      <c r="A1492" s="31" t="s">
        <v>1941</v>
      </c>
      <c r="B1492" s="32">
        <v>42147.0</v>
      </c>
      <c r="C1492" s="31" t="s">
        <v>1942</v>
      </c>
      <c r="D1492" s="31" t="s">
        <v>38</v>
      </c>
      <c r="E1492" s="31" t="s">
        <v>45</v>
      </c>
      <c r="F1492" s="33">
        <v>51.45</v>
      </c>
      <c r="G1492" s="33">
        <v>3.0</v>
      </c>
      <c r="H1492" s="33">
        <v>13.8915</v>
      </c>
    </row>
    <row r="1493">
      <c r="A1493" s="31" t="s">
        <v>1943</v>
      </c>
      <c r="B1493" s="32">
        <v>42223.0</v>
      </c>
      <c r="C1493" s="31" t="s">
        <v>1944</v>
      </c>
      <c r="D1493" s="31" t="s">
        <v>47</v>
      </c>
      <c r="E1493" s="31" t="s">
        <v>28</v>
      </c>
      <c r="F1493" s="33">
        <v>19.152</v>
      </c>
      <c r="G1493" s="33">
        <v>3.0</v>
      </c>
      <c r="H1493" s="33">
        <v>6.4638</v>
      </c>
    </row>
    <row r="1494">
      <c r="A1494" s="31" t="s">
        <v>1945</v>
      </c>
      <c r="B1494" s="32">
        <v>42089.0</v>
      </c>
      <c r="C1494" s="31" t="s">
        <v>1946</v>
      </c>
      <c r="D1494" s="31" t="s">
        <v>11</v>
      </c>
      <c r="E1494" s="31" t="s">
        <v>45</v>
      </c>
      <c r="F1494" s="33">
        <v>40.032</v>
      </c>
      <c r="G1494" s="33">
        <v>6.0</v>
      </c>
      <c r="H1494" s="33">
        <v>12.51</v>
      </c>
    </row>
    <row r="1495">
      <c r="A1495" s="31" t="s">
        <v>1947</v>
      </c>
      <c r="B1495" s="32">
        <v>42266.0</v>
      </c>
      <c r="C1495" s="31" t="s">
        <v>1737</v>
      </c>
      <c r="D1495" s="31" t="s">
        <v>38</v>
      </c>
      <c r="E1495" s="31" t="s">
        <v>59</v>
      </c>
      <c r="F1495" s="33">
        <v>66.36</v>
      </c>
      <c r="G1495" s="33">
        <v>4.0</v>
      </c>
      <c r="H1495" s="33">
        <v>23.226</v>
      </c>
    </row>
    <row r="1496">
      <c r="A1496" s="31" t="s">
        <v>1948</v>
      </c>
      <c r="B1496" s="32">
        <v>42321.0</v>
      </c>
      <c r="C1496" s="31" t="s">
        <v>1411</v>
      </c>
      <c r="D1496" s="31" t="s">
        <v>11</v>
      </c>
      <c r="E1496" s="31" t="s">
        <v>31</v>
      </c>
      <c r="F1496" s="33">
        <v>17.496</v>
      </c>
      <c r="G1496" s="33">
        <v>9.0</v>
      </c>
      <c r="H1496" s="33">
        <v>-7.4358</v>
      </c>
    </row>
    <row r="1497">
      <c r="A1497" s="31" t="s">
        <v>1949</v>
      </c>
      <c r="B1497" s="32">
        <v>42273.0</v>
      </c>
      <c r="C1497" s="31" t="s">
        <v>1946</v>
      </c>
      <c r="D1497" s="31" t="s">
        <v>11</v>
      </c>
      <c r="E1497" s="31" t="s">
        <v>45</v>
      </c>
      <c r="F1497" s="33">
        <v>34.44</v>
      </c>
      <c r="G1497" s="33">
        <v>3.0</v>
      </c>
      <c r="H1497" s="33">
        <v>16.1868</v>
      </c>
    </row>
    <row r="1498">
      <c r="A1498" s="31" t="s">
        <v>1950</v>
      </c>
      <c r="B1498" s="32">
        <v>42176.0</v>
      </c>
      <c r="C1498" s="31" t="s">
        <v>1783</v>
      </c>
      <c r="D1498" s="31" t="s">
        <v>11</v>
      </c>
      <c r="E1498" s="31" t="s">
        <v>59</v>
      </c>
      <c r="F1498" s="33">
        <v>107.976</v>
      </c>
      <c r="G1498" s="33">
        <v>3.0</v>
      </c>
      <c r="H1498" s="33">
        <v>37.7916</v>
      </c>
    </row>
    <row r="1499">
      <c r="A1499" s="31" t="s">
        <v>1951</v>
      </c>
      <c r="B1499" s="32">
        <v>42352.0</v>
      </c>
      <c r="C1499" s="31" t="s">
        <v>1345</v>
      </c>
      <c r="D1499" s="31" t="s">
        <v>11</v>
      </c>
      <c r="E1499" s="31" t="s">
        <v>28</v>
      </c>
      <c r="F1499" s="33">
        <v>8.096</v>
      </c>
      <c r="G1499" s="33">
        <v>2.0</v>
      </c>
      <c r="H1499" s="33">
        <v>2.7324</v>
      </c>
    </row>
    <row r="1500">
      <c r="A1500" s="31" t="s">
        <v>1952</v>
      </c>
      <c r="B1500" s="32">
        <v>42316.0</v>
      </c>
      <c r="C1500" s="31" t="s">
        <v>1365</v>
      </c>
      <c r="D1500" s="31" t="s">
        <v>11</v>
      </c>
      <c r="E1500" s="31" t="s">
        <v>28</v>
      </c>
      <c r="F1500" s="33">
        <v>119.9</v>
      </c>
      <c r="G1500" s="33">
        <v>2.0</v>
      </c>
      <c r="H1500" s="33">
        <v>43.164</v>
      </c>
    </row>
    <row r="1501">
      <c r="A1501" s="31" t="s">
        <v>1953</v>
      </c>
      <c r="B1501" s="32">
        <v>42223.0</v>
      </c>
      <c r="C1501" s="31" t="s">
        <v>1522</v>
      </c>
      <c r="D1501" s="31" t="s">
        <v>11</v>
      </c>
      <c r="E1501" s="31" t="s">
        <v>31</v>
      </c>
      <c r="F1501" s="33">
        <v>28.4</v>
      </c>
      <c r="G1501" s="33">
        <v>4.0</v>
      </c>
      <c r="H1501" s="33">
        <v>13.064</v>
      </c>
    </row>
    <row r="1502">
      <c r="A1502" s="31" t="s">
        <v>1954</v>
      </c>
      <c r="B1502" s="32">
        <v>42303.0</v>
      </c>
      <c r="C1502" s="31" t="s">
        <v>1811</v>
      </c>
      <c r="D1502" s="31" t="s">
        <v>38</v>
      </c>
      <c r="E1502" s="31" t="s">
        <v>28</v>
      </c>
      <c r="F1502" s="33">
        <v>105.584</v>
      </c>
      <c r="G1502" s="33">
        <v>2.0</v>
      </c>
      <c r="H1502" s="33">
        <v>9.2386</v>
      </c>
    </row>
    <row r="1503">
      <c r="A1503" s="31" t="s">
        <v>1955</v>
      </c>
      <c r="B1503" s="32">
        <v>42191.0</v>
      </c>
      <c r="C1503" s="31" t="s">
        <v>1640</v>
      </c>
      <c r="D1503" s="31" t="s">
        <v>11</v>
      </c>
      <c r="E1503" s="31" t="s">
        <v>28</v>
      </c>
      <c r="F1503" s="33">
        <v>170.352</v>
      </c>
      <c r="G1503" s="33">
        <v>3.0</v>
      </c>
      <c r="H1503" s="33">
        <v>-17.0352</v>
      </c>
    </row>
    <row r="1504">
      <c r="A1504" s="31" t="s">
        <v>1956</v>
      </c>
      <c r="B1504" s="32">
        <v>42071.0</v>
      </c>
      <c r="C1504" s="31" t="s">
        <v>1957</v>
      </c>
      <c r="D1504" s="31" t="s">
        <v>38</v>
      </c>
      <c r="E1504" s="31" t="s">
        <v>28</v>
      </c>
      <c r="F1504" s="33">
        <v>3.408</v>
      </c>
      <c r="G1504" s="33">
        <v>1.0</v>
      </c>
      <c r="H1504" s="33">
        <v>0.8946</v>
      </c>
    </row>
    <row r="1505">
      <c r="A1505" s="31" t="s">
        <v>1958</v>
      </c>
      <c r="B1505" s="32">
        <v>42107.0</v>
      </c>
      <c r="C1505" s="31" t="s">
        <v>1260</v>
      </c>
      <c r="D1505" s="31" t="s">
        <v>38</v>
      </c>
      <c r="E1505" s="31" t="s">
        <v>28</v>
      </c>
      <c r="F1505" s="33">
        <v>37.68</v>
      </c>
      <c r="G1505" s="33">
        <v>2.0</v>
      </c>
      <c r="H1505" s="33">
        <v>15.8256</v>
      </c>
    </row>
    <row r="1506">
      <c r="A1506" s="31" t="s">
        <v>1959</v>
      </c>
      <c r="B1506" s="32">
        <v>42287.0</v>
      </c>
      <c r="C1506" s="31" t="s">
        <v>1960</v>
      </c>
      <c r="D1506" s="31" t="s">
        <v>11</v>
      </c>
      <c r="E1506" s="31" t="s">
        <v>59</v>
      </c>
      <c r="F1506" s="33">
        <v>1801.632</v>
      </c>
      <c r="G1506" s="33">
        <v>6.0</v>
      </c>
      <c r="H1506" s="33">
        <v>-337.806</v>
      </c>
    </row>
    <row r="1507">
      <c r="A1507" s="31" t="s">
        <v>1961</v>
      </c>
      <c r="B1507" s="32">
        <v>42335.0</v>
      </c>
      <c r="C1507" s="31" t="s">
        <v>1962</v>
      </c>
      <c r="D1507" s="31" t="s">
        <v>47</v>
      </c>
      <c r="E1507" s="31" t="s">
        <v>45</v>
      </c>
      <c r="F1507" s="33">
        <v>748.752</v>
      </c>
      <c r="G1507" s="33">
        <v>8.0</v>
      </c>
      <c r="H1507" s="33">
        <v>-162.2296</v>
      </c>
    </row>
    <row r="1508">
      <c r="A1508" s="31" t="s">
        <v>1963</v>
      </c>
      <c r="B1508" s="32">
        <v>42260.0</v>
      </c>
      <c r="C1508" s="31" t="s">
        <v>1436</v>
      </c>
      <c r="D1508" s="31" t="s">
        <v>11</v>
      </c>
      <c r="E1508" s="31" t="s">
        <v>31</v>
      </c>
      <c r="F1508" s="33">
        <v>199.96</v>
      </c>
      <c r="G1508" s="33">
        <v>4.0</v>
      </c>
      <c r="H1508" s="33">
        <v>15.9968</v>
      </c>
    </row>
    <row r="1509">
      <c r="A1509" s="31" t="s">
        <v>1964</v>
      </c>
      <c r="B1509" s="32">
        <v>42231.0</v>
      </c>
      <c r="C1509" s="31" t="s">
        <v>1894</v>
      </c>
      <c r="D1509" s="31" t="s">
        <v>11</v>
      </c>
      <c r="E1509" s="31" t="s">
        <v>28</v>
      </c>
      <c r="F1509" s="33">
        <v>104.23</v>
      </c>
      <c r="G1509" s="33">
        <v>7.0</v>
      </c>
      <c r="H1509" s="33">
        <v>28.1421</v>
      </c>
    </row>
    <row r="1510">
      <c r="A1510" s="31" t="s">
        <v>1965</v>
      </c>
      <c r="B1510" s="32">
        <v>42259.0</v>
      </c>
      <c r="C1510" s="31" t="s">
        <v>1536</v>
      </c>
      <c r="D1510" s="31" t="s">
        <v>11</v>
      </c>
      <c r="E1510" s="31" t="s">
        <v>45</v>
      </c>
      <c r="F1510" s="33">
        <v>9.26</v>
      </c>
      <c r="G1510" s="33">
        <v>2.0</v>
      </c>
      <c r="H1510" s="33">
        <v>3.0558</v>
      </c>
    </row>
    <row r="1511">
      <c r="A1511" s="31" t="s">
        <v>1966</v>
      </c>
      <c r="B1511" s="32">
        <v>42016.0</v>
      </c>
      <c r="C1511" s="31" t="s">
        <v>1967</v>
      </c>
      <c r="D1511" s="31" t="s">
        <v>38</v>
      </c>
      <c r="E1511" s="31" t="s">
        <v>45</v>
      </c>
      <c r="F1511" s="33">
        <v>465.18</v>
      </c>
      <c r="G1511" s="33">
        <v>3.0</v>
      </c>
      <c r="H1511" s="33">
        <v>120.9468</v>
      </c>
    </row>
    <row r="1512">
      <c r="A1512" s="31" t="s">
        <v>1968</v>
      </c>
      <c r="B1512" s="32">
        <v>42136.0</v>
      </c>
      <c r="C1512" s="31" t="s">
        <v>1969</v>
      </c>
      <c r="D1512" s="31" t="s">
        <v>11</v>
      </c>
      <c r="E1512" s="31" t="s">
        <v>45</v>
      </c>
      <c r="F1512" s="33">
        <v>36.63</v>
      </c>
      <c r="G1512" s="33">
        <v>3.0</v>
      </c>
      <c r="H1512" s="33">
        <v>9.8901</v>
      </c>
    </row>
    <row r="1513">
      <c r="A1513" s="31" t="s">
        <v>1970</v>
      </c>
      <c r="B1513" s="32">
        <v>42145.0</v>
      </c>
      <c r="C1513" s="31" t="s">
        <v>1062</v>
      </c>
      <c r="D1513" s="31" t="s">
        <v>11</v>
      </c>
      <c r="E1513" s="31" t="s">
        <v>31</v>
      </c>
      <c r="F1513" s="33">
        <v>20.768</v>
      </c>
      <c r="G1513" s="33">
        <v>8.0</v>
      </c>
      <c r="H1513" s="33">
        <v>-52.9584</v>
      </c>
    </row>
    <row r="1514">
      <c r="A1514" s="31" t="s">
        <v>1971</v>
      </c>
      <c r="B1514" s="32">
        <v>42110.0</v>
      </c>
      <c r="C1514" s="31" t="s">
        <v>1972</v>
      </c>
      <c r="D1514" s="31" t="s">
        <v>38</v>
      </c>
      <c r="E1514" s="31" t="s">
        <v>45</v>
      </c>
      <c r="F1514" s="33">
        <v>12.576</v>
      </c>
      <c r="G1514" s="33">
        <v>4.0</v>
      </c>
      <c r="H1514" s="33">
        <v>4.0872</v>
      </c>
    </row>
    <row r="1515">
      <c r="A1515" s="31" t="s">
        <v>1973</v>
      </c>
      <c r="B1515" s="32">
        <v>42307.0</v>
      </c>
      <c r="C1515" s="31" t="s">
        <v>1524</v>
      </c>
      <c r="D1515" s="31" t="s">
        <v>11</v>
      </c>
      <c r="E1515" s="31" t="s">
        <v>59</v>
      </c>
      <c r="F1515" s="33">
        <v>182.91</v>
      </c>
      <c r="G1515" s="33">
        <v>3.0</v>
      </c>
      <c r="H1515" s="33">
        <v>53.0439</v>
      </c>
    </row>
    <row r="1516">
      <c r="A1516" s="31" t="s">
        <v>1974</v>
      </c>
      <c r="B1516" s="32">
        <v>42068.0</v>
      </c>
      <c r="C1516" s="31" t="s">
        <v>1975</v>
      </c>
      <c r="D1516" s="31" t="s">
        <v>38</v>
      </c>
      <c r="E1516" s="31" t="s">
        <v>45</v>
      </c>
      <c r="F1516" s="33">
        <v>99.372</v>
      </c>
      <c r="G1516" s="33">
        <v>2.0</v>
      </c>
      <c r="H1516" s="33">
        <v>-7.098</v>
      </c>
    </row>
    <row r="1517">
      <c r="A1517" s="31" t="s">
        <v>1976</v>
      </c>
      <c r="B1517" s="32">
        <v>42315.0</v>
      </c>
      <c r="C1517" s="31" t="s">
        <v>1871</v>
      </c>
      <c r="D1517" s="31" t="s">
        <v>11</v>
      </c>
      <c r="E1517" s="31" t="s">
        <v>45</v>
      </c>
      <c r="F1517" s="33">
        <v>715.2</v>
      </c>
      <c r="G1517" s="33">
        <v>3.0</v>
      </c>
      <c r="H1517" s="33">
        <v>178.8</v>
      </c>
    </row>
    <row r="1518">
      <c r="A1518" s="31" t="s">
        <v>1977</v>
      </c>
      <c r="B1518" s="32">
        <v>42252.0</v>
      </c>
      <c r="C1518" s="31" t="s">
        <v>1978</v>
      </c>
      <c r="D1518" s="31" t="s">
        <v>38</v>
      </c>
      <c r="E1518" s="31" t="s">
        <v>31</v>
      </c>
      <c r="F1518" s="33">
        <v>6.16</v>
      </c>
      <c r="G1518" s="33">
        <v>2.0</v>
      </c>
      <c r="H1518" s="33">
        <v>2.9568</v>
      </c>
    </row>
    <row r="1519">
      <c r="A1519" s="31" t="s">
        <v>1979</v>
      </c>
      <c r="B1519" s="32">
        <v>42364.0</v>
      </c>
      <c r="C1519" s="31" t="s">
        <v>1980</v>
      </c>
      <c r="D1519" s="31" t="s">
        <v>11</v>
      </c>
      <c r="E1519" s="31" t="s">
        <v>45</v>
      </c>
      <c r="F1519" s="33">
        <v>51.588</v>
      </c>
      <c r="G1519" s="33">
        <v>1.0</v>
      </c>
      <c r="H1519" s="33">
        <v>-15.4764</v>
      </c>
    </row>
    <row r="1520">
      <c r="A1520" s="31" t="s">
        <v>1981</v>
      </c>
      <c r="B1520" s="32">
        <v>42342.0</v>
      </c>
      <c r="C1520" s="31" t="s">
        <v>1982</v>
      </c>
      <c r="D1520" s="31" t="s">
        <v>11</v>
      </c>
      <c r="E1520" s="31" t="s">
        <v>28</v>
      </c>
      <c r="F1520" s="33">
        <v>16.9</v>
      </c>
      <c r="G1520" s="33">
        <v>5.0</v>
      </c>
      <c r="H1520" s="33">
        <v>6.253</v>
      </c>
    </row>
    <row r="1521">
      <c r="A1521" s="31" t="s">
        <v>1983</v>
      </c>
      <c r="B1521" s="32">
        <v>42021.0</v>
      </c>
      <c r="C1521" s="31" t="s">
        <v>1496</v>
      </c>
      <c r="D1521" s="31" t="s">
        <v>38</v>
      </c>
      <c r="E1521" s="31" t="s">
        <v>45</v>
      </c>
      <c r="F1521" s="33">
        <v>6.68</v>
      </c>
      <c r="G1521" s="33">
        <v>2.0</v>
      </c>
      <c r="H1521" s="33">
        <v>2.004</v>
      </c>
    </row>
    <row r="1522">
      <c r="A1522" s="31" t="s">
        <v>1984</v>
      </c>
      <c r="B1522" s="32">
        <v>42068.0</v>
      </c>
      <c r="C1522" s="31" t="s">
        <v>1985</v>
      </c>
      <c r="D1522" s="31" t="s">
        <v>11</v>
      </c>
      <c r="E1522" s="31" t="s">
        <v>31</v>
      </c>
      <c r="F1522" s="33">
        <v>31.92</v>
      </c>
      <c r="G1522" s="33">
        <v>2.0</v>
      </c>
      <c r="H1522" s="33">
        <v>2.394</v>
      </c>
    </row>
    <row r="1523">
      <c r="A1523" s="31" t="s">
        <v>1986</v>
      </c>
      <c r="B1523" s="32">
        <v>42145.0</v>
      </c>
      <c r="C1523" s="31" t="s">
        <v>1987</v>
      </c>
      <c r="D1523" s="31" t="s">
        <v>38</v>
      </c>
      <c r="E1523" s="31" t="s">
        <v>28</v>
      </c>
      <c r="F1523" s="33">
        <v>26.976</v>
      </c>
      <c r="G1523" s="33">
        <v>4.0</v>
      </c>
      <c r="H1523" s="33">
        <v>8.7672</v>
      </c>
    </row>
    <row r="1524">
      <c r="A1524" s="31" t="s">
        <v>1988</v>
      </c>
      <c r="B1524" s="32">
        <v>42317.0</v>
      </c>
      <c r="C1524" s="31" t="s">
        <v>1989</v>
      </c>
      <c r="D1524" s="31" t="s">
        <v>11</v>
      </c>
      <c r="E1524" s="31" t="s">
        <v>45</v>
      </c>
      <c r="F1524" s="33">
        <v>244.55</v>
      </c>
      <c r="G1524" s="33">
        <v>5.0</v>
      </c>
      <c r="H1524" s="33">
        <v>4.891</v>
      </c>
    </row>
    <row r="1525">
      <c r="A1525" s="31" t="s">
        <v>1990</v>
      </c>
      <c r="B1525" s="32">
        <v>42288.0</v>
      </c>
      <c r="C1525" s="31" t="s">
        <v>1991</v>
      </c>
      <c r="D1525" s="31" t="s">
        <v>11</v>
      </c>
      <c r="E1525" s="31" t="s">
        <v>45</v>
      </c>
      <c r="F1525" s="33">
        <v>31.95</v>
      </c>
      <c r="G1525" s="33">
        <v>1.0</v>
      </c>
      <c r="H1525" s="33">
        <v>2.2365</v>
      </c>
    </row>
    <row r="1526">
      <c r="A1526" s="31" t="s">
        <v>1992</v>
      </c>
      <c r="B1526" s="32">
        <v>42008.0</v>
      </c>
      <c r="C1526" s="31" t="s">
        <v>1542</v>
      </c>
      <c r="D1526" s="31" t="s">
        <v>38</v>
      </c>
      <c r="E1526" s="31" t="s">
        <v>31</v>
      </c>
      <c r="F1526" s="33">
        <v>32.34</v>
      </c>
      <c r="G1526" s="33">
        <v>3.0</v>
      </c>
      <c r="H1526" s="33">
        <v>15.5232</v>
      </c>
    </row>
    <row r="1527">
      <c r="A1527" s="31" t="s">
        <v>1993</v>
      </c>
      <c r="B1527" s="32">
        <v>42301.0</v>
      </c>
      <c r="C1527" s="31" t="s">
        <v>1811</v>
      </c>
      <c r="D1527" s="31" t="s">
        <v>38</v>
      </c>
      <c r="E1527" s="31" t="s">
        <v>31</v>
      </c>
      <c r="F1527" s="33">
        <v>15.552</v>
      </c>
      <c r="G1527" s="33">
        <v>3.0</v>
      </c>
      <c r="H1527" s="33">
        <v>5.4432</v>
      </c>
    </row>
    <row r="1528">
      <c r="A1528" s="31" t="s">
        <v>1994</v>
      </c>
      <c r="B1528" s="32">
        <v>42300.0</v>
      </c>
      <c r="C1528" s="31" t="s">
        <v>1559</v>
      </c>
      <c r="D1528" s="31" t="s">
        <v>11</v>
      </c>
      <c r="E1528" s="31" t="s">
        <v>31</v>
      </c>
      <c r="F1528" s="33">
        <v>36.288</v>
      </c>
      <c r="G1528" s="33">
        <v>7.0</v>
      </c>
      <c r="H1528" s="33">
        <v>12.7008</v>
      </c>
    </row>
    <row r="1529">
      <c r="A1529" s="31" t="s">
        <v>1995</v>
      </c>
      <c r="B1529" s="32">
        <v>42296.0</v>
      </c>
      <c r="C1529" s="31" t="s">
        <v>1996</v>
      </c>
      <c r="D1529" s="31" t="s">
        <v>47</v>
      </c>
      <c r="E1529" s="31" t="s">
        <v>28</v>
      </c>
      <c r="F1529" s="33">
        <v>1640.7</v>
      </c>
      <c r="G1529" s="33">
        <v>5.0</v>
      </c>
      <c r="H1529" s="33">
        <v>459.396</v>
      </c>
    </row>
    <row r="1530">
      <c r="A1530" s="31" t="s">
        <v>1997</v>
      </c>
      <c r="B1530" s="32">
        <v>42111.0</v>
      </c>
      <c r="C1530" s="31" t="s">
        <v>1574</v>
      </c>
      <c r="D1530" s="31" t="s">
        <v>11</v>
      </c>
      <c r="E1530" s="31" t="s">
        <v>45</v>
      </c>
      <c r="F1530" s="33">
        <v>99.6</v>
      </c>
      <c r="G1530" s="33">
        <v>1.0</v>
      </c>
      <c r="H1530" s="33">
        <v>36.852</v>
      </c>
    </row>
    <row r="1531">
      <c r="A1531" s="31" t="s">
        <v>1998</v>
      </c>
      <c r="B1531" s="32">
        <v>42301.0</v>
      </c>
      <c r="C1531" s="31" t="s">
        <v>1999</v>
      </c>
      <c r="D1531" s="31" t="s">
        <v>47</v>
      </c>
      <c r="E1531" s="31" t="s">
        <v>31</v>
      </c>
      <c r="F1531" s="33">
        <v>3.592</v>
      </c>
      <c r="G1531" s="33">
        <v>4.0</v>
      </c>
      <c r="H1531" s="33">
        <v>-6.286</v>
      </c>
    </row>
    <row r="1532">
      <c r="A1532" s="31" t="s">
        <v>2000</v>
      </c>
      <c r="B1532" s="32">
        <v>42251.0</v>
      </c>
      <c r="C1532" s="31" t="s">
        <v>1309</v>
      </c>
      <c r="D1532" s="31" t="s">
        <v>38</v>
      </c>
      <c r="E1532" s="31" t="s">
        <v>45</v>
      </c>
      <c r="F1532" s="33">
        <v>7.656</v>
      </c>
      <c r="G1532" s="33">
        <v>4.0</v>
      </c>
      <c r="H1532" s="33">
        <v>-6.1248</v>
      </c>
    </row>
    <row r="1533">
      <c r="A1533" s="31" t="s">
        <v>2001</v>
      </c>
      <c r="B1533" s="32">
        <v>42285.0</v>
      </c>
      <c r="C1533" s="31" t="s">
        <v>1538</v>
      </c>
      <c r="D1533" s="31" t="s">
        <v>11</v>
      </c>
      <c r="E1533" s="31" t="s">
        <v>28</v>
      </c>
      <c r="F1533" s="33">
        <v>145.9</v>
      </c>
      <c r="G1533" s="33">
        <v>5.0</v>
      </c>
      <c r="H1533" s="33">
        <v>62.737</v>
      </c>
    </row>
    <row r="1534">
      <c r="A1534" s="31" t="s">
        <v>2002</v>
      </c>
      <c r="B1534" s="32">
        <v>42154.0</v>
      </c>
      <c r="C1534" s="31" t="s">
        <v>2003</v>
      </c>
      <c r="D1534" s="31" t="s">
        <v>11</v>
      </c>
      <c r="E1534" s="31" t="s">
        <v>45</v>
      </c>
      <c r="F1534" s="33">
        <v>239.97</v>
      </c>
      <c r="G1534" s="33">
        <v>3.0</v>
      </c>
      <c r="H1534" s="33">
        <v>2.3997</v>
      </c>
    </row>
    <row r="1535">
      <c r="A1535" s="31" t="s">
        <v>2004</v>
      </c>
      <c r="B1535" s="32">
        <v>42132.0</v>
      </c>
      <c r="C1535" s="31" t="s">
        <v>1688</v>
      </c>
      <c r="D1535" s="31" t="s">
        <v>47</v>
      </c>
      <c r="E1535" s="31" t="s">
        <v>45</v>
      </c>
      <c r="F1535" s="33">
        <v>37.94</v>
      </c>
      <c r="G1535" s="33">
        <v>2.0</v>
      </c>
      <c r="H1535" s="33">
        <v>18.2112</v>
      </c>
    </row>
    <row r="1536">
      <c r="A1536" s="31" t="s">
        <v>2005</v>
      </c>
      <c r="B1536" s="32">
        <v>42094.0</v>
      </c>
      <c r="C1536" s="31" t="s">
        <v>1496</v>
      </c>
      <c r="D1536" s="31" t="s">
        <v>38</v>
      </c>
      <c r="E1536" s="31" t="s">
        <v>59</v>
      </c>
      <c r="F1536" s="33">
        <v>79.96</v>
      </c>
      <c r="G1536" s="33">
        <v>5.0</v>
      </c>
      <c r="H1536" s="33">
        <v>27.986</v>
      </c>
    </row>
    <row r="1537">
      <c r="A1537" s="31" t="s">
        <v>2006</v>
      </c>
      <c r="B1537" s="32">
        <v>42107.0</v>
      </c>
      <c r="C1537" s="31" t="s">
        <v>2007</v>
      </c>
      <c r="D1537" s="31" t="s">
        <v>11</v>
      </c>
      <c r="E1537" s="31" t="s">
        <v>31</v>
      </c>
      <c r="F1537" s="33">
        <v>17.43</v>
      </c>
      <c r="G1537" s="33">
        <v>3.0</v>
      </c>
      <c r="H1537" s="33">
        <v>8.0178</v>
      </c>
    </row>
    <row r="1538">
      <c r="A1538" s="31" t="s">
        <v>2008</v>
      </c>
      <c r="B1538" s="32">
        <v>42352.0</v>
      </c>
      <c r="C1538" s="31" t="s">
        <v>1686</v>
      </c>
      <c r="D1538" s="31" t="s">
        <v>38</v>
      </c>
      <c r="E1538" s="31" t="s">
        <v>59</v>
      </c>
      <c r="F1538" s="33">
        <v>6.16</v>
      </c>
      <c r="G1538" s="33">
        <v>2.0</v>
      </c>
      <c r="H1538" s="33">
        <v>1.9712</v>
      </c>
    </row>
    <row r="1539">
      <c r="A1539" s="31" t="s">
        <v>2009</v>
      </c>
      <c r="B1539" s="32">
        <v>42344.0</v>
      </c>
      <c r="C1539" s="31" t="s">
        <v>1904</v>
      </c>
      <c r="D1539" s="31" t="s">
        <v>11</v>
      </c>
      <c r="E1539" s="31" t="s">
        <v>28</v>
      </c>
      <c r="F1539" s="33">
        <v>6.48</v>
      </c>
      <c r="G1539" s="33">
        <v>1.0</v>
      </c>
      <c r="H1539" s="33">
        <v>3.1104</v>
      </c>
    </row>
    <row r="1540">
      <c r="A1540" s="31" t="s">
        <v>2010</v>
      </c>
      <c r="B1540" s="32">
        <v>42082.0</v>
      </c>
      <c r="C1540" s="31" t="s">
        <v>1578</v>
      </c>
      <c r="D1540" s="31" t="s">
        <v>11</v>
      </c>
      <c r="E1540" s="31" t="s">
        <v>28</v>
      </c>
      <c r="F1540" s="33">
        <v>10.9</v>
      </c>
      <c r="G1540" s="33">
        <v>5.0</v>
      </c>
      <c r="H1540" s="33">
        <v>3.597</v>
      </c>
    </row>
    <row r="1541">
      <c r="A1541" s="31" t="s">
        <v>2011</v>
      </c>
      <c r="B1541" s="32">
        <v>42272.0</v>
      </c>
      <c r="C1541" s="31" t="s">
        <v>2012</v>
      </c>
      <c r="D1541" s="31" t="s">
        <v>11</v>
      </c>
      <c r="E1541" s="31" t="s">
        <v>45</v>
      </c>
      <c r="F1541" s="33">
        <v>68.62</v>
      </c>
      <c r="G1541" s="33">
        <v>2.0</v>
      </c>
      <c r="H1541" s="33">
        <v>32.2514</v>
      </c>
    </row>
    <row r="1542">
      <c r="A1542" s="31" t="s">
        <v>2013</v>
      </c>
      <c r="B1542" s="32">
        <v>42341.0</v>
      </c>
      <c r="C1542" s="31" t="s">
        <v>2014</v>
      </c>
      <c r="D1542" s="31" t="s">
        <v>38</v>
      </c>
      <c r="E1542" s="31" t="s">
        <v>45</v>
      </c>
      <c r="F1542" s="33">
        <v>590.352</v>
      </c>
      <c r="G1542" s="33">
        <v>6.0</v>
      </c>
      <c r="H1542" s="33">
        <v>206.6232</v>
      </c>
    </row>
    <row r="1543">
      <c r="A1543" s="31" t="s">
        <v>2015</v>
      </c>
      <c r="B1543" s="32">
        <v>42344.0</v>
      </c>
      <c r="C1543" s="31" t="s">
        <v>2016</v>
      </c>
      <c r="D1543" s="31" t="s">
        <v>11</v>
      </c>
      <c r="E1543" s="31" t="s">
        <v>28</v>
      </c>
      <c r="F1543" s="33">
        <v>7.78</v>
      </c>
      <c r="G1543" s="33">
        <v>2.0</v>
      </c>
      <c r="H1543" s="33">
        <v>2.0228</v>
      </c>
    </row>
    <row r="1544">
      <c r="A1544" s="31" t="s">
        <v>2017</v>
      </c>
      <c r="B1544" s="32">
        <v>42282.0</v>
      </c>
      <c r="C1544" s="31" t="s">
        <v>1538</v>
      </c>
      <c r="D1544" s="31" t="s">
        <v>11</v>
      </c>
      <c r="E1544" s="31" t="s">
        <v>45</v>
      </c>
      <c r="F1544" s="33">
        <v>53.04</v>
      </c>
      <c r="G1544" s="33">
        <v>3.0</v>
      </c>
      <c r="H1544" s="33">
        <v>-4.641</v>
      </c>
    </row>
    <row r="1545">
      <c r="A1545" s="31" t="s">
        <v>2018</v>
      </c>
      <c r="B1545" s="32">
        <v>42265.0</v>
      </c>
      <c r="C1545" s="31" t="s">
        <v>1339</v>
      </c>
      <c r="D1545" s="31" t="s">
        <v>11</v>
      </c>
      <c r="E1545" s="31" t="s">
        <v>28</v>
      </c>
      <c r="F1545" s="33">
        <v>443.92</v>
      </c>
      <c r="G1545" s="33">
        <v>4.0</v>
      </c>
      <c r="H1545" s="33">
        <v>8.8784</v>
      </c>
    </row>
    <row r="1546">
      <c r="A1546" s="31" t="s">
        <v>2019</v>
      </c>
      <c r="B1546" s="32">
        <v>42343.0</v>
      </c>
      <c r="C1546" s="31" t="s">
        <v>2020</v>
      </c>
      <c r="D1546" s="31" t="s">
        <v>47</v>
      </c>
      <c r="E1546" s="31" t="s">
        <v>31</v>
      </c>
      <c r="F1546" s="33">
        <v>152.8</v>
      </c>
      <c r="G1546" s="33">
        <v>5.0</v>
      </c>
      <c r="H1546" s="33">
        <v>76.4</v>
      </c>
    </row>
    <row r="1547">
      <c r="A1547" s="31" t="s">
        <v>2021</v>
      </c>
      <c r="B1547" s="32">
        <v>42139.0</v>
      </c>
      <c r="C1547" s="31" t="s">
        <v>1710</v>
      </c>
      <c r="D1547" s="31" t="s">
        <v>38</v>
      </c>
      <c r="E1547" s="31" t="s">
        <v>59</v>
      </c>
      <c r="F1547" s="33">
        <v>17.94</v>
      </c>
      <c r="G1547" s="33">
        <v>3.0</v>
      </c>
      <c r="H1547" s="33">
        <v>8.7906</v>
      </c>
    </row>
    <row r="1548">
      <c r="A1548" s="31" t="s">
        <v>2022</v>
      </c>
      <c r="B1548" s="32">
        <v>42008.0</v>
      </c>
      <c r="C1548" s="31" t="s">
        <v>1811</v>
      </c>
      <c r="D1548" s="31" t="s">
        <v>38</v>
      </c>
      <c r="E1548" s="31" t="s">
        <v>59</v>
      </c>
      <c r="F1548" s="33">
        <v>192.22</v>
      </c>
      <c r="G1548" s="33">
        <v>14.0</v>
      </c>
      <c r="H1548" s="33">
        <v>69.1992</v>
      </c>
    </row>
    <row r="1549">
      <c r="A1549" s="31" t="s">
        <v>2023</v>
      </c>
      <c r="B1549" s="32">
        <v>42164.0</v>
      </c>
      <c r="C1549" s="31" t="s">
        <v>1154</v>
      </c>
      <c r="D1549" s="31" t="s">
        <v>11</v>
      </c>
      <c r="E1549" s="31" t="s">
        <v>28</v>
      </c>
      <c r="F1549" s="33">
        <v>355.36</v>
      </c>
      <c r="G1549" s="33">
        <v>4.0</v>
      </c>
      <c r="H1549" s="33">
        <v>92.3936</v>
      </c>
    </row>
    <row r="1550">
      <c r="A1550" s="31" t="s">
        <v>2024</v>
      </c>
      <c r="B1550" s="32">
        <v>42313.0</v>
      </c>
      <c r="C1550" s="31" t="s">
        <v>1115</v>
      </c>
      <c r="D1550" s="31" t="s">
        <v>11</v>
      </c>
      <c r="E1550" s="31" t="s">
        <v>28</v>
      </c>
      <c r="F1550" s="33">
        <v>98.352</v>
      </c>
      <c r="G1550" s="33">
        <v>3.0</v>
      </c>
      <c r="H1550" s="33">
        <v>35.6526</v>
      </c>
    </row>
    <row r="1551">
      <c r="A1551" s="31" t="s">
        <v>2025</v>
      </c>
      <c r="B1551" s="32">
        <v>42364.0</v>
      </c>
      <c r="C1551" s="31" t="s">
        <v>1464</v>
      </c>
      <c r="D1551" s="31" t="s">
        <v>47</v>
      </c>
      <c r="E1551" s="31" t="s">
        <v>31</v>
      </c>
      <c r="F1551" s="33">
        <v>275.058</v>
      </c>
      <c r="G1551" s="33">
        <v>3.0</v>
      </c>
      <c r="H1551" s="33">
        <v>-90.3762</v>
      </c>
    </row>
    <row r="1552">
      <c r="A1552" s="31" t="s">
        <v>2026</v>
      </c>
      <c r="B1552" s="32">
        <v>42348.0</v>
      </c>
      <c r="C1552" s="31" t="s">
        <v>1240</v>
      </c>
      <c r="D1552" s="31" t="s">
        <v>38</v>
      </c>
      <c r="E1552" s="31" t="s">
        <v>45</v>
      </c>
      <c r="F1552" s="33">
        <v>27.36</v>
      </c>
      <c r="G1552" s="33">
        <v>9.0</v>
      </c>
      <c r="H1552" s="33">
        <v>9.3024</v>
      </c>
    </row>
    <row r="1553">
      <c r="A1553" s="31" t="s">
        <v>2027</v>
      </c>
      <c r="B1553" s="32">
        <v>42132.0</v>
      </c>
      <c r="C1553" s="31" t="s">
        <v>1652</v>
      </c>
      <c r="D1553" s="31" t="s">
        <v>11</v>
      </c>
      <c r="E1553" s="31" t="s">
        <v>45</v>
      </c>
      <c r="F1553" s="33">
        <v>79.44</v>
      </c>
      <c r="G1553" s="33">
        <v>3.0</v>
      </c>
      <c r="H1553" s="33">
        <v>30.1872</v>
      </c>
    </row>
    <row r="1554">
      <c r="A1554" s="31" t="s">
        <v>2028</v>
      </c>
      <c r="B1554" s="32">
        <v>42286.0</v>
      </c>
      <c r="C1554" s="31" t="s">
        <v>1196</v>
      </c>
      <c r="D1554" s="31" t="s">
        <v>38</v>
      </c>
      <c r="E1554" s="31" t="s">
        <v>31</v>
      </c>
      <c r="F1554" s="33">
        <v>619.95</v>
      </c>
      <c r="G1554" s="33">
        <v>5.0</v>
      </c>
      <c r="H1554" s="33">
        <v>111.591</v>
      </c>
    </row>
    <row r="1555">
      <c r="A1555" s="31" t="s">
        <v>2029</v>
      </c>
      <c r="B1555" s="32">
        <v>42322.0</v>
      </c>
      <c r="C1555" s="31" t="s">
        <v>1807</v>
      </c>
      <c r="D1555" s="31" t="s">
        <v>38</v>
      </c>
      <c r="E1555" s="31" t="s">
        <v>28</v>
      </c>
      <c r="F1555" s="33">
        <v>8.72</v>
      </c>
      <c r="G1555" s="33">
        <v>5.0</v>
      </c>
      <c r="H1555" s="33">
        <v>2.289</v>
      </c>
    </row>
    <row r="1556">
      <c r="A1556" s="31" t="s">
        <v>2030</v>
      </c>
      <c r="B1556" s="32">
        <v>42272.0</v>
      </c>
      <c r="C1556" s="31" t="s">
        <v>1101</v>
      </c>
      <c r="D1556" s="31" t="s">
        <v>38</v>
      </c>
      <c r="E1556" s="31" t="s">
        <v>45</v>
      </c>
      <c r="F1556" s="33">
        <v>899.91</v>
      </c>
      <c r="G1556" s="33">
        <v>9.0</v>
      </c>
      <c r="H1556" s="33">
        <v>395.9604</v>
      </c>
    </row>
    <row r="1557">
      <c r="A1557" s="31" t="s">
        <v>2031</v>
      </c>
      <c r="B1557" s="32">
        <v>42128.0</v>
      </c>
      <c r="C1557" s="31" t="s">
        <v>1710</v>
      </c>
      <c r="D1557" s="31" t="s">
        <v>38</v>
      </c>
      <c r="E1557" s="31" t="s">
        <v>31</v>
      </c>
      <c r="F1557" s="33">
        <v>946.344</v>
      </c>
      <c r="G1557" s="33">
        <v>7.0</v>
      </c>
      <c r="H1557" s="33">
        <v>118.293</v>
      </c>
    </row>
    <row r="1558">
      <c r="A1558" s="31" t="s">
        <v>2032</v>
      </c>
      <c r="B1558" s="32">
        <v>42092.0</v>
      </c>
      <c r="C1558" s="31" t="s">
        <v>2033</v>
      </c>
      <c r="D1558" s="31" t="s">
        <v>11</v>
      </c>
      <c r="E1558" s="31" t="s">
        <v>59</v>
      </c>
      <c r="F1558" s="33">
        <v>5.56</v>
      </c>
      <c r="G1558" s="33">
        <v>2.0</v>
      </c>
      <c r="H1558" s="33">
        <v>1.4456</v>
      </c>
    </row>
    <row r="1559">
      <c r="A1559" s="31" t="s">
        <v>2034</v>
      </c>
      <c r="B1559" s="32">
        <v>42227.0</v>
      </c>
      <c r="C1559" s="31" t="s">
        <v>2035</v>
      </c>
      <c r="D1559" s="31" t="s">
        <v>11</v>
      </c>
      <c r="E1559" s="31" t="s">
        <v>59</v>
      </c>
      <c r="F1559" s="33">
        <v>46.152</v>
      </c>
      <c r="G1559" s="33">
        <v>3.0</v>
      </c>
      <c r="H1559" s="33">
        <v>12.1149</v>
      </c>
    </row>
    <row r="1560">
      <c r="A1560" s="31" t="s">
        <v>2036</v>
      </c>
      <c r="B1560" s="32">
        <v>42330.0</v>
      </c>
      <c r="C1560" s="31" t="s">
        <v>2037</v>
      </c>
      <c r="D1560" s="31" t="s">
        <v>11</v>
      </c>
      <c r="E1560" s="31" t="s">
        <v>59</v>
      </c>
      <c r="F1560" s="33">
        <v>32.985</v>
      </c>
      <c r="G1560" s="33">
        <v>3.0</v>
      </c>
      <c r="H1560" s="33">
        <v>-1.9791</v>
      </c>
    </row>
    <row r="1561">
      <c r="A1561" s="31" t="s">
        <v>2038</v>
      </c>
      <c r="B1561" s="32">
        <v>42311.0</v>
      </c>
      <c r="C1561" s="31" t="s">
        <v>1357</v>
      </c>
      <c r="D1561" s="31" t="s">
        <v>38</v>
      </c>
      <c r="E1561" s="31" t="s">
        <v>45</v>
      </c>
      <c r="F1561" s="33">
        <v>1448.82</v>
      </c>
      <c r="G1561" s="33">
        <v>10.0</v>
      </c>
      <c r="H1561" s="33">
        <v>209.274</v>
      </c>
    </row>
    <row r="1562">
      <c r="A1562" s="31" t="s">
        <v>2039</v>
      </c>
      <c r="B1562" s="32">
        <v>42257.0</v>
      </c>
      <c r="C1562" s="31" t="s">
        <v>1394</v>
      </c>
      <c r="D1562" s="31" t="s">
        <v>11</v>
      </c>
      <c r="E1562" s="31" t="s">
        <v>28</v>
      </c>
      <c r="F1562" s="33">
        <v>353.88</v>
      </c>
      <c r="G1562" s="33">
        <v>6.0</v>
      </c>
      <c r="H1562" s="33">
        <v>17.694</v>
      </c>
    </row>
    <row r="1563">
      <c r="A1563" s="31" t="s">
        <v>2040</v>
      </c>
      <c r="B1563" s="32">
        <v>42060.0</v>
      </c>
      <c r="C1563" s="31" t="s">
        <v>2041</v>
      </c>
      <c r="D1563" s="31" t="s">
        <v>11</v>
      </c>
      <c r="E1563" s="31" t="s">
        <v>45</v>
      </c>
      <c r="F1563" s="33">
        <v>3.15</v>
      </c>
      <c r="G1563" s="33">
        <v>1.0</v>
      </c>
      <c r="H1563" s="33">
        <v>1.512</v>
      </c>
    </row>
    <row r="1564">
      <c r="A1564" s="31" t="s">
        <v>2042</v>
      </c>
      <c r="B1564" s="32">
        <v>42271.0</v>
      </c>
      <c r="C1564" s="31" t="s">
        <v>1309</v>
      </c>
      <c r="D1564" s="31" t="s">
        <v>38</v>
      </c>
      <c r="E1564" s="31" t="s">
        <v>28</v>
      </c>
      <c r="F1564" s="33">
        <v>14.91</v>
      </c>
      <c r="G1564" s="33">
        <v>3.0</v>
      </c>
      <c r="H1564" s="33">
        <v>4.6221</v>
      </c>
    </row>
    <row r="1565">
      <c r="A1565" s="31" t="s">
        <v>2043</v>
      </c>
      <c r="B1565" s="32">
        <v>42334.0</v>
      </c>
      <c r="C1565" s="31" t="s">
        <v>1182</v>
      </c>
      <c r="D1565" s="31" t="s">
        <v>38</v>
      </c>
      <c r="E1565" s="31" t="s">
        <v>31</v>
      </c>
      <c r="F1565" s="33">
        <v>599.99</v>
      </c>
      <c r="G1565" s="33">
        <v>1.0</v>
      </c>
      <c r="H1565" s="33">
        <v>233.9961</v>
      </c>
    </row>
    <row r="1566">
      <c r="A1566" s="31" t="s">
        <v>2044</v>
      </c>
      <c r="B1566" s="32">
        <v>42096.0</v>
      </c>
      <c r="C1566" s="31" t="s">
        <v>1960</v>
      </c>
      <c r="D1566" s="31" t="s">
        <v>11</v>
      </c>
      <c r="E1566" s="31" t="s">
        <v>28</v>
      </c>
      <c r="F1566" s="33">
        <v>71.976</v>
      </c>
      <c r="G1566" s="33">
        <v>3.0</v>
      </c>
      <c r="H1566" s="33">
        <v>24.2919</v>
      </c>
    </row>
    <row r="1567">
      <c r="A1567" s="31" t="s">
        <v>2045</v>
      </c>
      <c r="B1567" s="32">
        <v>42350.0</v>
      </c>
      <c r="C1567" s="31" t="s">
        <v>2046</v>
      </c>
      <c r="D1567" s="31" t="s">
        <v>11</v>
      </c>
      <c r="E1567" s="31" t="s">
        <v>28</v>
      </c>
      <c r="F1567" s="33">
        <v>2.21</v>
      </c>
      <c r="G1567" s="33">
        <v>1.0</v>
      </c>
      <c r="H1567" s="33">
        <v>0.5967</v>
      </c>
    </row>
    <row r="1568">
      <c r="A1568" s="31" t="s">
        <v>2047</v>
      </c>
      <c r="B1568" s="32">
        <v>42085.0</v>
      </c>
      <c r="C1568" s="31" t="s">
        <v>2048</v>
      </c>
      <c r="D1568" s="31" t="s">
        <v>11</v>
      </c>
      <c r="E1568" s="31" t="s">
        <v>28</v>
      </c>
      <c r="F1568" s="33">
        <v>15.984</v>
      </c>
      <c r="G1568" s="33">
        <v>2.0</v>
      </c>
      <c r="H1568" s="33">
        <v>1.1988</v>
      </c>
    </row>
    <row r="1569">
      <c r="A1569" s="31" t="s">
        <v>2049</v>
      </c>
      <c r="B1569" s="32">
        <v>42085.0</v>
      </c>
      <c r="C1569" s="31" t="s">
        <v>1494</v>
      </c>
      <c r="D1569" s="31" t="s">
        <v>38</v>
      </c>
      <c r="E1569" s="31" t="s">
        <v>28</v>
      </c>
      <c r="F1569" s="33">
        <v>105.52</v>
      </c>
      <c r="G1569" s="33">
        <v>4.0</v>
      </c>
      <c r="H1569" s="33">
        <v>48.5392</v>
      </c>
    </row>
    <row r="1570">
      <c r="A1570" s="31" t="s">
        <v>2050</v>
      </c>
      <c r="B1570" s="32">
        <v>42187.0</v>
      </c>
      <c r="C1570" s="31" t="s">
        <v>1803</v>
      </c>
      <c r="D1570" s="31" t="s">
        <v>47</v>
      </c>
      <c r="E1570" s="31" t="s">
        <v>45</v>
      </c>
      <c r="F1570" s="33">
        <v>19.44</v>
      </c>
      <c r="G1570" s="33">
        <v>3.0</v>
      </c>
      <c r="H1570" s="33">
        <v>9.3312</v>
      </c>
    </row>
    <row r="1571">
      <c r="A1571" s="31" t="s">
        <v>2051</v>
      </c>
      <c r="B1571" s="32">
        <v>42170.0</v>
      </c>
      <c r="C1571" s="31" t="s">
        <v>1611</v>
      </c>
      <c r="D1571" s="31" t="s">
        <v>11</v>
      </c>
      <c r="E1571" s="31" t="s">
        <v>59</v>
      </c>
      <c r="F1571" s="33">
        <v>11.672</v>
      </c>
      <c r="G1571" s="33">
        <v>1.0</v>
      </c>
      <c r="H1571" s="33">
        <v>-0.7295</v>
      </c>
    </row>
    <row r="1572">
      <c r="A1572" s="31" t="s">
        <v>2052</v>
      </c>
      <c r="B1572" s="32">
        <v>42203.0</v>
      </c>
      <c r="C1572" s="31" t="s">
        <v>1797</v>
      </c>
      <c r="D1572" s="31" t="s">
        <v>11</v>
      </c>
      <c r="E1572" s="31" t="s">
        <v>28</v>
      </c>
      <c r="F1572" s="33">
        <v>519.96</v>
      </c>
      <c r="G1572" s="33">
        <v>4.0</v>
      </c>
      <c r="H1572" s="33">
        <v>176.7864</v>
      </c>
    </row>
    <row r="1573">
      <c r="A1573" s="31" t="s">
        <v>2053</v>
      </c>
      <c r="B1573" s="32">
        <v>42164.0</v>
      </c>
      <c r="C1573" s="31" t="s">
        <v>2054</v>
      </c>
      <c r="D1573" s="31" t="s">
        <v>11</v>
      </c>
      <c r="E1573" s="31" t="s">
        <v>59</v>
      </c>
      <c r="F1573" s="33">
        <v>64.2</v>
      </c>
      <c r="G1573" s="33">
        <v>5.0</v>
      </c>
      <c r="H1573" s="33">
        <v>-42.8</v>
      </c>
    </row>
    <row r="1574">
      <c r="A1574" s="31" t="s">
        <v>2055</v>
      </c>
      <c r="B1574" s="32">
        <v>42090.0</v>
      </c>
      <c r="C1574" s="31" t="s">
        <v>2056</v>
      </c>
      <c r="D1574" s="31" t="s">
        <v>11</v>
      </c>
      <c r="E1574" s="31" t="s">
        <v>28</v>
      </c>
      <c r="F1574" s="33">
        <v>83.7</v>
      </c>
      <c r="G1574" s="33">
        <v>5.0</v>
      </c>
      <c r="H1574" s="33">
        <v>3.348</v>
      </c>
    </row>
    <row r="1575">
      <c r="A1575" s="31" t="s">
        <v>2057</v>
      </c>
      <c r="B1575" s="32">
        <v>42269.0</v>
      </c>
      <c r="C1575" s="31" t="s">
        <v>1679</v>
      </c>
      <c r="D1575" s="31" t="s">
        <v>47</v>
      </c>
      <c r="E1575" s="31" t="s">
        <v>59</v>
      </c>
      <c r="F1575" s="33">
        <v>32.4</v>
      </c>
      <c r="G1575" s="33">
        <v>5.0</v>
      </c>
      <c r="H1575" s="33">
        <v>15.552</v>
      </c>
    </row>
    <row r="1576">
      <c r="A1576" s="31" t="s">
        <v>2058</v>
      </c>
      <c r="B1576" s="32">
        <v>42325.0</v>
      </c>
      <c r="C1576" s="31" t="s">
        <v>2059</v>
      </c>
      <c r="D1576" s="31" t="s">
        <v>11</v>
      </c>
      <c r="E1576" s="31" t="s">
        <v>28</v>
      </c>
      <c r="F1576" s="33">
        <v>415.968</v>
      </c>
      <c r="G1576" s="33">
        <v>4.0</v>
      </c>
      <c r="H1576" s="33">
        <v>51.996</v>
      </c>
    </row>
    <row r="1577">
      <c r="A1577" s="31" t="s">
        <v>2060</v>
      </c>
      <c r="B1577" s="32">
        <v>42318.0</v>
      </c>
      <c r="C1577" s="31" t="s">
        <v>1353</v>
      </c>
      <c r="D1577" s="31" t="s">
        <v>47</v>
      </c>
      <c r="E1577" s="31" t="s">
        <v>31</v>
      </c>
      <c r="F1577" s="33">
        <v>715.64</v>
      </c>
      <c r="G1577" s="33">
        <v>2.0</v>
      </c>
      <c r="H1577" s="33">
        <v>178.91</v>
      </c>
    </row>
    <row r="1578">
      <c r="A1578" s="31" t="s">
        <v>2061</v>
      </c>
      <c r="B1578" s="32">
        <v>42221.0</v>
      </c>
      <c r="C1578" s="31" t="s">
        <v>1710</v>
      </c>
      <c r="D1578" s="31" t="s">
        <v>38</v>
      </c>
      <c r="E1578" s="31" t="s">
        <v>31</v>
      </c>
      <c r="F1578" s="33">
        <v>33.488</v>
      </c>
      <c r="G1578" s="33">
        <v>7.0</v>
      </c>
      <c r="H1578" s="33">
        <v>-1.2558</v>
      </c>
    </row>
    <row r="1579">
      <c r="A1579" s="31" t="s">
        <v>2062</v>
      </c>
      <c r="B1579" s="32">
        <v>42309.0</v>
      </c>
      <c r="C1579" s="31" t="s">
        <v>2063</v>
      </c>
      <c r="D1579" s="31" t="s">
        <v>11</v>
      </c>
      <c r="E1579" s="31" t="s">
        <v>59</v>
      </c>
      <c r="F1579" s="33">
        <v>301.96</v>
      </c>
      <c r="G1579" s="33">
        <v>2.0</v>
      </c>
      <c r="H1579" s="33">
        <v>45.294</v>
      </c>
    </row>
    <row r="1580">
      <c r="A1580" s="31" t="s">
        <v>2064</v>
      </c>
      <c r="B1580" s="32">
        <v>42123.0</v>
      </c>
      <c r="C1580" s="31" t="s">
        <v>1085</v>
      </c>
      <c r="D1580" s="31" t="s">
        <v>47</v>
      </c>
      <c r="E1580" s="31" t="s">
        <v>45</v>
      </c>
      <c r="F1580" s="33">
        <v>7.968</v>
      </c>
      <c r="G1580" s="33">
        <v>2.0</v>
      </c>
      <c r="H1580" s="33">
        <v>2.8884</v>
      </c>
    </row>
    <row r="1581">
      <c r="A1581" s="31" t="s">
        <v>2065</v>
      </c>
      <c r="B1581" s="32">
        <v>42101.0</v>
      </c>
      <c r="C1581" s="31" t="s">
        <v>2066</v>
      </c>
      <c r="D1581" s="31" t="s">
        <v>47</v>
      </c>
      <c r="E1581" s="31" t="s">
        <v>45</v>
      </c>
      <c r="F1581" s="33">
        <v>11.736</v>
      </c>
      <c r="G1581" s="33">
        <v>3.0</v>
      </c>
      <c r="H1581" s="33">
        <v>1.0269</v>
      </c>
    </row>
    <row r="1582">
      <c r="A1582" s="31" t="s">
        <v>2067</v>
      </c>
      <c r="B1582" s="32">
        <v>42131.0</v>
      </c>
      <c r="C1582" s="31" t="s">
        <v>2068</v>
      </c>
      <c r="D1582" s="31" t="s">
        <v>11</v>
      </c>
      <c r="E1582" s="31" t="s">
        <v>59</v>
      </c>
      <c r="F1582" s="33">
        <v>45.68</v>
      </c>
      <c r="G1582" s="33">
        <v>2.0</v>
      </c>
      <c r="H1582" s="33">
        <v>21.0128</v>
      </c>
    </row>
    <row r="1583">
      <c r="A1583" s="31" t="s">
        <v>2069</v>
      </c>
      <c r="B1583" s="32">
        <v>42328.0</v>
      </c>
      <c r="C1583" s="31" t="s">
        <v>2070</v>
      </c>
      <c r="D1583" s="31" t="s">
        <v>47</v>
      </c>
      <c r="E1583" s="31" t="s">
        <v>28</v>
      </c>
      <c r="F1583" s="33">
        <v>24.192</v>
      </c>
      <c r="G1583" s="33">
        <v>9.0</v>
      </c>
      <c r="H1583" s="33">
        <v>7.56</v>
      </c>
    </row>
    <row r="1584">
      <c r="A1584" s="31" t="s">
        <v>2071</v>
      </c>
      <c r="B1584" s="32">
        <v>42264.0</v>
      </c>
      <c r="C1584" s="31" t="s">
        <v>1726</v>
      </c>
      <c r="D1584" s="31" t="s">
        <v>11</v>
      </c>
      <c r="E1584" s="31" t="s">
        <v>45</v>
      </c>
      <c r="F1584" s="33">
        <v>14.9</v>
      </c>
      <c r="G1584" s="33">
        <v>5.0</v>
      </c>
      <c r="H1584" s="33">
        <v>1.043</v>
      </c>
    </row>
    <row r="1585">
      <c r="A1585" s="31" t="s">
        <v>2072</v>
      </c>
      <c r="B1585" s="32">
        <v>42261.0</v>
      </c>
      <c r="C1585" s="31" t="s">
        <v>1912</v>
      </c>
      <c r="D1585" s="31" t="s">
        <v>47</v>
      </c>
      <c r="E1585" s="31" t="s">
        <v>31</v>
      </c>
      <c r="F1585" s="33">
        <v>25.9</v>
      </c>
      <c r="G1585" s="33">
        <v>5.0</v>
      </c>
      <c r="H1585" s="33">
        <v>12.691</v>
      </c>
    </row>
    <row r="1586">
      <c r="A1586" s="31" t="s">
        <v>2073</v>
      </c>
      <c r="B1586" s="32">
        <v>42363.0</v>
      </c>
      <c r="C1586" s="31" t="s">
        <v>1085</v>
      </c>
      <c r="D1586" s="31" t="s">
        <v>47</v>
      </c>
      <c r="E1586" s="31" t="s">
        <v>45</v>
      </c>
      <c r="F1586" s="33">
        <v>414.96</v>
      </c>
      <c r="G1586" s="33">
        <v>2.0</v>
      </c>
      <c r="H1586" s="33">
        <v>124.488</v>
      </c>
    </row>
    <row r="1587">
      <c r="A1587" s="31" t="s">
        <v>2074</v>
      </c>
      <c r="B1587" s="32">
        <v>42310.0</v>
      </c>
      <c r="C1587" s="31" t="s">
        <v>1781</v>
      </c>
      <c r="D1587" s="31" t="s">
        <v>11</v>
      </c>
      <c r="E1587" s="31" t="s">
        <v>45</v>
      </c>
      <c r="F1587" s="33">
        <v>109.764</v>
      </c>
      <c r="G1587" s="33">
        <v>2.0</v>
      </c>
      <c r="H1587" s="33">
        <v>8.5372</v>
      </c>
    </row>
    <row r="1588">
      <c r="A1588" s="31" t="s">
        <v>2075</v>
      </c>
      <c r="B1588" s="32">
        <v>42368.0</v>
      </c>
      <c r="C1588" s="31" t="s">
        <v>2076</v>
      </c>
      <c r="D1588" s="31" t="s">
        <v>11</v>
      </c>
      <c r="E1588" s="31" t="s">
        <v>28</v>
      </c>
      <c r="F1588" s="33">
        <v>68.52</v>
      </c>
      <c r="G1588" s="33">
        <v>3.0</v>
      </c>
      <c r="H1588" s="33">
        <v>31.5192</v>
      </c>
    </row>
    <row r="1589">
      <c r="A1589" s="31" t="s">
        <v>2077</v>
      </c>
      <c r="B1589" s="32">
        <v>42352.0</v>
      </c>
      <c r="C1589" s="31" t="s">
        <v>1507</v>
      </c>
      <c r="D1589" s="31" t="s">
        <v>47</v>
      </c>
      <c r="E1589" s="31" t="s">
        <v>28</v>
      </c>
      <c r="F1589" s="33">
        <v>15.24</v>
      </c>
      <c r="G1589" s="33">
        <v>3.0</v>
      </c>
      <c r="H1589" s="33">
        <v>5.1816</v>
      </c>
    </row>
    <row r="1590">
      <c r="A1590" s="31" t="s">
        <v>2078</v>
      </c>
      <c r="B1590" s="32">
        <v>42113.0</v>
      </c>
      <c r="C1590" s="31" t="s">
        <v>2079</v>
      </c>
      <c r="D1590" s="31" t="s">
        <v>11</v>
      </c>
      <c r="E1590" s="31" t="s">
        <v>31</v>
      </c>
      <c r="F1590" s="33">
        <v>19.568</v>
      </c>
      <c r="G1590" s="33">
        <v>2.0</v>
      </c>
      <c r="H1590" s="33">
        <v>-52.8336</v>
      </c>
    </row>
    <row r="1591">
      <c r="A1591" s="31" t="s">
        <v>2080</v>
      </c>
      <c r="B1591" s="32">
        <v>42250.0</v>
      </c>
      <c r="C1591" s="31" t="s">
        <v>2081</v>
      </c>
      <c r="D1591" s="31" t="s">
        <v>38</v>
      </c>
      <c r="E1591" s="31" t="s">
        <v>28</v>
      </c>
      <c r="F1591" s="33">
        <v>238.152</v>
      </c>
      <c r="G1591" s="33">
        <v>3.0</v>
      </c>
      <c r="H1591" s="33">
        <v>89.307</v>
      </c>
    </row>
    <row r="1592">
      <c r="A1592" s="31" t="s">
        <v>2082</v>
      </c>
      <c r="B1592" s="32">
        <v>42315.0</v>
      </c>
      <c r="C1592" s="31" t="s">
        <v>2083</v>
      </c>
      <c r="D1592" s="31" t="s">
        <v>38</v>
      </c>
      <c r="E1592" s="31" t="s">
        <v>59</v>
      </c>
      <c r="F1592" s="33">
        <v>16.146</v>
      </c>
      <c r="G1592" s="33">
        <v>9.0</v>
      </c>
      <c r="H1592" s="33">
        <v>-12.9168</v>
      </c>
    </row>
    <row r="1593">
      <c r="A1593" s="31" t="s">
        <v>2084</v>
      </c>
      <c r="B1593" s="32">
        <v>42119.0</v>
      </c>
      <c r="C1593" s="31" t="s">
        <v>2085</v>
      </c>
      <c r="D1593" s="31" t="s">
        <v>11</v>
      </c>
      <c r="E1593" s="31" t="s">
        <v>31</v>
      </c>
      <c r="F1593" s="33">
        <v>57.75</v>
      </c>
      <c r="G1593" s="33">
        <v>5.0</v>
      </c>
      <c r="H1593" s="33">
        <v>16.17</v>
      </c>
    </row>
    <row r="1594">
      <c r="A1594" s="31" t="s">
        <v>2086</v>
      </c>
      <c r="B1594" s="32">
        <v>42104.0</v>
      </c>
      <c r="C1594" s="31" t="s">
        <v>1962</v>
      </c>
      <c r="D1594" s="31" t="s">
        <v>47</v>
      </c>
      <c r="E1594" s="31" t="s">
        <v>45</v>
      </c>
      <c r="F1594" s="33">
        <v>142.04</v>
      </c>
      <c r="G1594" s="33">
        <v>4.0</v>
      </c>
      <c r="H1594" s="33">
        <v>38.3508</v>
      </c>
    </row>
    <row r="1595">
      <c r="A1595" s="31" t="s">
        <v>2087</v>
      </c>
      <c r="B1595" s="32">
        <v>42363.0</v>
      </c>
      <c r="C1595" s="31" t="s">
        <v>1805</v>
      </c>
      <c r="D1595" s="31" t="s">
        <v>11</v>
      </c>
      <c r="E1595" s="31" t="s">
        <v>28</v>
      </c>
      <c r="F1595" s="33">
        <v>1199.96</v>
      </c>
      <c r="G1595" s="33">
        <v>5.0</v>
      </c>
      <c r="H1595" s="33">
        <v>224.9925</v>
      </c>
    </row>
    <row r="1596">
      <c r="A1596" s="31" t="s">
        <v>2088</v>
      </c>
      <c r="B1596" s="32">
        <v>42099.0</v>
      </c>
      <c r="C1596" s="31" t="s">
        <v>2089</v>
      </c>
      <c r="D1596" s="31" t="s">
        <v>11</v>
      </c>
      <c r="E1596" s="31" t="s">
        <v>45</v>
      </c>
      <c r="F1596" s="33">
        <v>23.904</v>
      </c>
      <c r="G1596" s="33">
        <v>6.0</v>
      </c>
      <c r="H1596" s="33">
        <v>7.7688</v>
      </c>
    </row>
    <row r="1597">
      <c r="A1597" s="31" t="s">
        <v>2090</v>
      </c>
      <c r="B1597" s="32">
        <v>42021.0</v>
      </c>
      <c r="C1597" s="31" t="s">
        <v>1932</v>
      </c>
      <c r="D1597" s="31" t="s">
        <v>11</v>
      </c>
      <c r="E1597" s="31" t="s">
        <v>59</v>
      </c>
      <c r="F1597" s="33">
        <v>88.96</v>
      </c>
      <c r="G1597" s="33">
        <v>8.0</v>
      </c>
      <c r="H1597" s="33">
        <v>10.008</v>
      </c>
    </row>
    <row r="1598">
      <c r="A1598" s="31" t="s">
        <v>2091</v>
      </c>
      <c r="B1598" s="32">
        <v>42369.0</v>
      </c>
      <c r="C1598" s="31" t="s">
        <v>2092</v>
      </c>
      <c r="D1598" s="31" t="s">
        <v>11</v>
      </c>
      <c r="E1598" s="31" t="s">
        <v>31</v>
      </c>
      <c r="F1598" s="33">
        <v>152.688</v>
      </c>
      <c r="G1598" s="33">
        <v>2.0</v>
      </c>
      <c r="H1598" s="33">
        <v>-26.7204</v>
      </c>
    </row>
    <row r="1599">
      <c r="A1599" s="31" t="s">
        <v>2093</v>
      </c>
      <c r="B1599" s="32">
        <v>42352.0</v>
      </c>
      <c r="C1599" s="31" t="s">
        <v>1632</v>
      </c>
      <c r="D1599" s="31" t="s">
        <v>11</v>
      </c>
      <c r="E1599" s="31" t="s">
        <v>28</v>
      </c>
      <c r="F1599" s="33">
        <v>29.22</v>
      </c>
      <c r="G1599" s="33">
        <v>3.0</v>
      </c>
      <c r="H1599" s="33">
        <v>12.8568</v>
      </c>
    </row>
    <row r="1600">
      <c r="A1600" s="31" t="s">
        <v>2094</v>
      </c>
      <c r="B1600" s="32">
        <v>42168.0</v>
      </c>
      <c r="C1600" s="31" t="s">
        <v>1546</v>
      </c>
      <c r="D1600" s="31" t="s">
        <v>38</v>
      </c>
      <c r="E1600" s="31" t="s">
        <v>59</v>
      </c>
      <c r="F1600" s="33">
        <v>6.48</v>
      </c>
      <c r="G1600" s="33">
        <v>1.0</v>
      </c>
      <c r="H1600" s="33">
        <v>3.1104</v>
      </c>
    </row>
    <row r="1601">
      <c r="A1601" s="31" t="s">
        <v>2095</v>
      </c>
      <c r="B1601" s="32">
        <v>42173.0</v>
      </c>
      <c r="C1601" s="31" t="s">
        <v>1540</v>
      </c>
      <c r="D1601" s="31" t="s">
        <v>38</v>
      </c>
      <c r="E1601" s="31" t="s">
        <v>59</v>
      </c>
      <c r="F1601" s="33">
        <v>13.632</v>
      </c>
      <c r="G1601" s="33">
        <v>4.0</v>
      </c>
      <c r="H1601" s="33">
        <v>3.5784</v>
      </c>
    </row>
    <row r="1602">
      <c r="A1602" s="31" t="s">
        <v>2096</v>
      </c>
      <c r="B1602" s="32">
        <v>42247.0</v>
      </c>
      <c r="C1602" s="31" t="s">
        <v>2097</v>
      </c>
      <c r="D1602" s="31" t="s">
        <v>47</v>
      </c>
      <c r="E1602" s="31" t="s">
        <v>31</v>
      </c>
      <c r="F1602" s="33">
        <v>20.96</v>
      </c>
      <c r="G1602" s="33">
        <v>4.0</v>
      </c>
      <c r="H1602" s="33">
        <v>6.812</v>
      </c>
    </row>
    <row r="1603">
      <c r="A1603" s="31" t="s">
        <v>2098</v>
      </c>
      <c r="B1603" s="32">
        <v>42295.0</v>
      </c>
      <c r="C1603" s="31" t="s">
        <v>2099</v>
      </c>
      <c r="D1603" s="31" t="s">
        <v>47</v>
      </c>
      <c r="E1603" s="31" t="s">
        <v>31</v>
      </c>
      <c r="F1603" s="33">
        <v>27.696</v>
      </c>
      <c r="G1603" s="33">
        <v>3.0</v>
      </c>
      <c r="H1603" s="33">
        <v>3.462</v>
      </c>
    </row>
    <row r="1604">
      <c r="A1604" s="31" t="s">
        <v>2100</v>
      </c>
      <c r="B1604" s="32">
        <v>42112.0</v>
      </c>
      <c r="C1604" s="31" t="s">
        <v>1906</v>
      </c>
      <c r="D1604" s="31" t="s">
        <v>11</v>
      </c>
      <c r="E1604" s="31" t="s">
        <v>28</v>
      </c>
      <c r="F1604" s="33">
        <v>115.44</v>
      </c>
      <c r="G1604" s="33">
        <v>3.0</v>
      </c>
      <c r="H1604" s="33">
        <v>30.0144</v>
      </c>
    </row>
    <row r="1605">
      <c r="A1605" s="31" t="s">
        <v>2101</v>
      </c>
      <c r="B1605" s="32">
        <v>42114.0</v>
      </c>
      <c r="C1605" s="31" t="s">
        <v>2102</v>
      </c>
      <c r="D1605" s="31" t="s">
        <v>11</v>
      </c>
      <c r="E1605" s="31" t="s">
        <v>31</v>
      </c>
      <c r="F1605" s="33">
        <v>117.456</v>
      </c>
      <c r="G1605" s="33">
        <v>3.0</v>
      </c>
      <c r="H1605" s="33">
        <v>44.046</v>
      </c>
    </row>
    <row r="1606">
      <c r="A1606" s="31" t="s">
        <v>2103</v>
      </c>
      <c r="B1606" s="32">
        <v>42266.0</v>
      </c>
      <c r="C1606" s="31" t="s">
        <v>1304</v>
      </c>
      <c r="D1606" s="31" t="s">
        <v>38</v>
      </c>
      <c r="E1606" s="31" t="s">
        <v>28</v>
      </c>
      <c r="F1606" s="33">
        <v>22.96</v>
      </c>
      <c r="G1606" s="33">
        <v>2.0</v>
      </c>
      <c r="H1606" s="33">
        <v>11.2504</v>
      </c>
    </row>
    <row r="1607">
      <c r="A1607" s="31" t="s">
        <v>2104</v>
      </c>
      <c r="B1607" s="32">
        <v>42268.0</v>
      </c>
      <c r="C1607" s="31" t="s">
        <v>1603</v>
      </c>
      <c r="D1607" s="31" t="s">
        <v>11</v>
      </c>
      <c r="E1607" s="31" t="s">
        <v>59</v>
      </c>
      <c r="F1607" s="33">
        <v>1690.04</v>
      </c>
      <c r="G1607" s="33">
        <v>4.0</v>
      </c>
      <c r="H1607" s="33">
        <v>422.51</v>
      </c>
    </row>
    <row r="1608">
      <c r="A1608" s="31" t="s">
        <v>2105</v>
      </c>
      <c r="B1608" s="32">
        <v>42223.0</v>
      </c>
      <c r="C1608" s="31" t="s">
        <v>2106</v>
      </c>
      <c r="D1608" s="31" t="s">
        <v>11</v>
      </c>
      <c r="E1608" s="31" t="s">
        <v>45</v>
      </c>
      <c r="F1608" s="33">
        <v>106.8</v>
      </c>
      <c r="G1608" s="33">
        <v>10.0</v>
      </c>
      <c r="H1608" s="33">
        <v>10.68</v>
      </c>
    </row>
    <row r="1609">
      <c r="A1609" s="31" t="s">
        <v>2107</v>
      </c>
      <c r="B1609" s="32">
        <v>42323.0</v>
      </c>
      <c r="C1609" s="31" t="s">
        <v>1132</v>
      </c>
      <c r="D1609" s="31" t="s">
        <v>38</v>
      </c>
      <c r="E1609" s="31" t="s">
        <v>45</v>
      </c>
      <c r="F1609" s="33">
        <v>70.95</v>
      </c>
      <c r="G1609" s="33">
        <v>3.0</v>
      </c>
      <c r="H1609" s="33">
        <v>20.5755</v>
      </c>
    </row>
    <row r="1610">
      <c r="A1610" s="31" t="s">
        <v>2108</v>
      </c>
      <c r="B1610" s="32">
        <v>42321.0</v>
      </c>
      <c r="C1610" s="31" t="s">
        <v>1119</v>
      </c>
      <c r="D1610" s="31" t="s">
        <v>11</v>
      </c>
      <c r="E1610" s="31" t="s">
        <v>31</v>
      </c>
      <c r="F1610" s="33">
        <v>63.77</v>
      </c>
      <c r="G1610" s="33">
        <v>7.0</v>
      </c>
      <c r="H1610" s="33">
        <v>28.6965</v>
      </c>
    </row>
    <row r="1611">
      <c r="A1611" s="31" t="s">
        <v>2109</v>
      </c>
      <c r="B1611" s="32">
        <v>42110.0</v>
      </c>
      <c r="C1611" s="31" t="s">
        <v>2012</v>
      </c>
      <c r="D1611" s="31" t="s">
        <v>11</v>
      </c>
      <c r="E1611" s="31" t="s">
        <v>31</v>
      </c>
      <c r="F1611" s="33">
        <v>1439.968</v>
      </c>
      <c r="G1611" s="33">
        <v>4.0</v>
      </c>
      <c r="H1611" s="33">
        <v>485.9892</v>
      </c>
    </row>
    <row r="1612">
      <c r="A1612" s="31" t="s">
        <v>2110</v>
      </c>
      <c r="B1612" s="32">
        <v>42336.0</v>
      </c>
      <c r="C1612" s="31" t="s">
        <v>2111</v>
      </c>
      <c r="D1612" s="31" t="s">
        <v>38</v>
      </c>
      <c r="E1612" s="31" t="s">
        <v>45</v>
      </c>
      <c r="F1612" s="33">
        <v>68.16</v>
      </c>
      <c r="G1612" s="33">
        <v>3.0</v>
      </c>
      <c r="H1612" s="33">
        <v>27.9456</v>
      </c>
    </row>
    <row r="1613">
      <c r="A1613" s="31" t="s">
        <v>2112</v>
      </c>
      <c r="B1613" s="32">
        <v>42212.0</v>
      </c>
      <c r="C1613" s="31" t="s">
        <v>2079</v>
      </c>
      <c r="D1613" s="31" t="s">
        <v>11</v>
      </c>
      <c r="E1613" s="31" t="s">
        <v>59</v>
      </c>
      <c r="F1613" s="33">
        <v>29.97</v>
      </c>
      <c r="G1613" s="33">
        <v>3.0</v>
      </c>
      <c r="H1613" s="33">
        <v>0.2997</v>
      </c>
    </row>
    <row r="1614">
      <c r="A1614" s="31" t="s">
        <v>2113</v>
      </c>
      <c r="B1614" s="32">
        <v>42282.0</v>
      </c>
      <c r="C1614" s="31" t="s">
        <v>1152</v>
      </c>
      <c r="D1614" s="31" t="s">
        <v>11</v>
      </c>
      <c r="E1614" s="31" t="s">
        <v>28</v>
      </c>
      <c r="F1614" s="33">
        <v>66.294</v>
      </c>
      <c r="G1614" s="33">
        <v>1.0</v>
      </c>
      <c r="H1614" s="33">
        <v>-103.8606</v>
      </c>
    </row>
    <row r="1615">
      <c r="A1615" s="31" t="s">
        <v>2114</v>
      </c>
      <c r="B1615" s="32">
        <v>42350.0</v>
      </c>
      <c r="C1615" s="31" t="s">
        <v>1411</v>
      </c>
      <c r="D1615" s="31" t="s">
        <v>11</v>
      </c>
      <c r="E1615" s="31" t="s">
        <v>28</v>
      </c>
      <c r="F1615" s="33">
        <v>166.5</v>
      </c>
      <c r="G1615" s="33">
        <v>3.0</v>
      </c>
      <c r="H1615" s="33">
        <v>21.645</v>
      </c>
    </row>
    <row r="1616">
      <c r="A1616" s="31" t="s">
        <v>2115</v>
      </c>
      <c r="B1616" s="32">
        <v>42328.0</v>
      </c>
      <c r="C1616" s="31" t="s">
        <v>2116</v>
      </c>
      <c r="D1616" s="31" t="s">
        <v>47</v>
      </c>
      <c r="E1616" s="31" t="s">
        <v>28</v>
      </c>
      <c r="F1616" s="33">
        <v>119.04</v>
      </c>
      <c r="G1616" s="33">
        <v>6.0</v>
      </c>
      <c r="H1616" s="33">
        <v>30.9504</v>
      </c>
    </row>
    <row r="1617">
      <c r="A1617" s="31" t="s">
        <v>2117</v>
      </c>
      <c r="B1617" s="32">
        <v>42255.0</v>
      </c>
      <c r="C1617" s="31" t="s">
        <v>1093</v>
      </c>
      <c r="D1617" s="31" t="s">
        <v>38</v>
      </c>
      <c r="E1617" s="31" t="s">
        <v>59</v>
      </c>
      <c r="F1617" s="33">
        <v>21.36</v>
      </c>
      <c r="G1617" s="33">
        <v>8.0</v>
      </c>
      <c r="H1617" s="33">
        <v>8.1168</v>
      </c>
    </row>
    <row r="1618">
      <c r="A1618" s="31" t="s">
        <v>2118</v>
      </c>
      <c r="B1618" s="32">
        <v>42253.0</v>
      </c>
      <c r="C1618" s="31" t="s">
        <v>2119</v>
      </c>
      <c r="D1618" s="31" t="s">
        <v>47</v>
      </c>
      <c r="E1618" s="31" t="s">
        <v>59</v>
      </c>
      <c r="F1618" s="33">
        <v>3.444</v>
      </c>
      <c r="G1618" s="33">
        <v>1.0</v>
      </c>
      <c r="H1618" s="33">
        <v>-2.5256</v>
      </c>
    </row>
    <row r="1619">
      <c r="A1619" s="31" t="s">
        <v>2120</v>
      </c>
      <c r="B1619" s="32">
        <v>42091.0</v>
      </c>
      <c r="C1619" s="31" t="s">
        <v>2121</v>
      </c>
      <c r="D1619" s="31" t="s">
        <v>11</v>
      </c>
      <c r="E1619" s="31" t="s">
        <v>45</v>
      </c>
      <c r="F1619" s="33">
        <v>22.92</v>
      </c>
      <c r="G1619" s="33">
        <v>3.0</v>
      </c>
      <c r="H1619" s="33">
        <v>11.2308</v>
      </c>
    </row>
    <row r="1620">
      <c r="A1620" s="31" t="s">
        <v>2122</v>
      </c>
      <c r="B1620" s="32">
        <v>42229.0</v>
      </c>
      <c r="C1620" s="31" t="s">
        <v>1805</v>
      </c>
      <c r="D1620" s="31" t="s">
        <v>11</v>
      </c>
      <c r="E1620" s="31" t="s">
        <v>31</v>
      </c>
      <c r="F1620" s="33">
        <v>11.36</v>
      </c>
      <c r="G1620" s="33">
        <v>4.0</v>
      </c>
      <c r="H1620" s="33">
        <v>5.5664</v>
      </c>
    </row>
    <row r="1621">
      <c r="A1621" s="31" t="s">
        <v>2123</v>
      </c>
      <c r="B1621" s="32">
        <v>42136.0</v>
      </c>
      <c r="C1621" s="31" t="s">
        <v>1825</v>
      </c>
      <c r="D1621" s="31" t="s">
        <v>11</v>
      </c>
      <c r="E1621" s="31" t="s">
        <v>28</v>
      </c>
      <c r="F1621" s="33">
        <v>14.592</v>
      </c>
      <c r="G1621" s="33">
        <v>3.0</v>
      </c>
      <c r="H1621" s="33">
        <v>4.9248</v>
      </c>
    </row>
    <row r="1622">
      <c r="A1622" s="31" t="s">
        <v>2124</v>
      </c>
      <c r="B1622" s="32">
        <v>42278.0</v>
      </c>
      <c r="C1622" s="31" t="s">
        <v>1996</v>
      </c>
      <c r="D1622" s="31" t="s">
        <v>47</v>
      </c>
      <c r="E1622" s="31" t="s">
        <v>45</v>
      </c>
      <c r="F1622" s="33">
        <v>311.98</v>
      </c>
      <c r="G1622" s="33">
        <v>2.0</v>
      </c>
      <c r="H1622" s="33">
        <v>93.594</v>
      </c>
    </row>
    <row r="1623">
      <c r="A1623" s="31" t="s">
        <v>2125</v>
      </c>
      <c r="B1623" s="32">
        <v>42328.0</v>
      </c>
      <c r="C1623" s="31" t="s">
        <v>2126</v>
      </c>
      <c r="D1623" s="31" t="s">
        <v>11</v>
      </c>
      <c r="E1623" s="31" t="s">
        <v>45</v>
      </c>
      <c r="F1623" s="33">
        <v>63.824</v>
      </c>
      <c r="G1623" s="33">
        <v>2.0</v>
      </c>
      <c r="H1623" s="33">
        <v>9.5736</v>
      </c>
    </row>
    <row r="1624">
      <c r="A1624" s="31" t="s">
        <v>2127</v>
      </c>
      <c r="B1624" s="32">
        <v>42076.0</v>
      </c>
      <c r="C1624" s="31" t="s">
        <v>1250</v>
      </c>
      <c r="D1624" s="31" t="s">
        <v>47</v>
      </c>
      <c r="E1624" s="31" t="s">
        <v>28</v>
      </c>
      <c r="F1624" s="33">
        <v>915.136</v>
      </c>
      <c r="G1624" s="33">
        <v>4.0</v>
      </c>
      <c r="H1624" s="33">
        <v>102.9528</v>
      </c>
    </row>
    <row r="1625">
      <c r="A1625" s="31" t="s">
        <v>2128</v>
      </c>
      <c r="B1625" s="32">
        <v>42116.0</v>
      </c>
      <c r="C1625" s="31" t="s">
        <v>1969</v>
      </c>
      <c r="D1625" s="31" t="s">
        <v>11</v>
      </c>
      <c r="E1625" s="31" t="s">
        <v>28</v>
      </c>
      <c r="F1625" s="33">
        <v>88.776</v>
      </c>
      <c r="G1625" s="33">
        <v>3.0</v>
      </c>
      <c r="H1625" s="33">
        <v>7.7679</v>
      </c>
    </row>
    <row r="1626">
      <c r="A1626" s="31" t="s">
        <v>2129</v>
      </c>
      <c r="B1626" s="32">
        <v>42306.0</v>
      </c>
      <c r="C1626" s="31" t="s">
        <v>2130</v>
      </c>
      <c r="D1626" s="31" t="s">
        <v>38</v>
      </c>
      <c r="E1626" s="31" t="s">
        <v>28</v>
      </c>
      <c r="F1626" s="33">
        <v>33.4</v>
      </c>
      <c r="G1626" s="33">
        <v>5.0</v>
      </c>
      <c r="H1626" s="33">
        <v>16.032</v>
      </c>
    </row>
    <row r="1627">
      <c r="A1627" s="31" t="s">
        <v>2131</v>
      </c>
      <c r="B1627" s="32">
        <v>42070.0</v>
      </c>
      <c r="C1627" s="31" t="s">
        <v>2132</v>
      </c>
      <c r="D1627" s="31" t="s">
        <v>47</v>
      </c>
      <c r="E1627" s="31" t="s">
        <v>45</v>
      </c>
      <c r="F1627" s="33">
        <v>119.85</v>
      </c>
      <c r="G1627" s="33">
        <v>3.0</v>
      </c>
      <c r="H1627" s="33">
        <v>52.734</v>
      </c>
    </row>
    <row r="1628">
      <c r="A1628" s="31" t="s">
        <v>2133</v>
      </c>
      <c r="B1628" s="32">
        <v>42125.0</v>
      </c>
      <c r="C1628" s="31" t="s">
        <v>2134</v>
      </c>
      <c r="D1628" s="31" t="s">
        <v>11</v>
      </c>
      <c r="E1628" s="31" t="s">
        <v>28</v>
      </c>
      <c r="F1628" s="33">
        <v>12.176</v>
      </c>
      <c r="G1628" s="33">
        <v>1.0</v>
      </c>
      <c r="H1628" s="33">
        <v>4.4138</v>
      </c>
    </row>
    <row r="1629">
      <c r="A1629" s="31" t="s">
        <v>2135</v>
      </c>
      <c r="B1629" s="32">
        <v>42260.0</v>
      </c>
      <c r="C1629" s="31" t="s">
        <v>2136</v>
      </c>
      <c r="D1629" s="31" t="s">
        <v>11</v>
      </c>
      <c r="E1629" s="31" t="s">
        <v>45</v>
      </c>
      <c r="F1629" s="33">
        <v>2.412</v>
      </c>
      <c r="G1629" s="33">
        <v>1.0</v>
      </c>
      <c r="H1629" s="33">
        <v>-2.01</v>
      </c>
    </row>
    <row r="1630">
      <c r="A1630" s="31" t="s">
        <v>2137</v>
      </c>
      <c r="B1630" s="32">
        <v>42253.0</v>
      </c>
      <c r="C1630" s="31" t="s">
        <v>2138</v>
      </c>
      <c r="D1630" s="31" t="s">
        <v>38</v>
      </c>
      <c r="E1630" s="31" t="s">
        <v>45</v>
      </c>
      <c r="F1630" s="33">
        <v>8.39</v>
      </c>
      <c r="G1630" s="33">
        <v>1.0</v>
      </c>
      <c r="H1630" s="33">
        <v>2.0975</v>
      </c>
    </row>
    <row r="1631">
      <c r="A1631" s="31" t="s">
        <v>2139</v>
      </c>
      <c r="B1631" s="32">
        <v>42348.0</v>
      </c>
      <c r="C1631" s="31" t="s">
        <v>2140</v>
      </c>
      <c r="D1631" s="31" t="s">
        <v>47</v>
      </c>
      <c r="E1631" s="31" t="s">
        <v>28</v>
      </c>
      <c r="F1631" s="33">
        <v>56.3</v>
      </c>
      <c r="G1631" s="33">
        <v>2.0</v>
      </c>
      <c r="H1631" s="33">
        <v>15.764</v>
      </c>
    </row>
    <row r="1632">
      <c r="A1632" s="31" t="s">
        <v>2141</v>
      </c>
      <c r="B1632" s="32">
        <v>42042.0</v>
      </c>
      <c r="C1632" s="31" t="s">
        <v>1306</v>
      </c>
      <c r="D1632" s="31" t="s">
        <v>38</v>
      </c>
      <c r="E1632" s="31" t="s">
        <v>59</v>
      </c>
      <c r="F1632" s="33">
        <v>311.15</v>
      </c>
      <c r="G1632" s="33">
        <v>5.0</v>
      </c>
      <c r="H1632" s="33">
        <v>146.2405</v>
      </c>
    </row>
    <row r="1633">
      <c r="A1633" s="31" t="s">
        <v>2142</v>
      </c>
      <c r="B1633" s="32">
        <v>42338.0</v>
      </c>
      <c r="C1633" s="31" t="s">
        <v>2143</v>
      </c>
      <c r="D1633" s="31" t="s">
        <v>11</v>
      </c>
      <c r="E1633" s="31" t="s">
        <v>59</v>
      </c>
      <c r="F1633" s="33">
        <v>177.48</v>
      </c>
      <c r="G1633" s="33">
        <v>3.0</v>
      </c>
      <c r="H1633" s="33">
        <v>19.9665</v>
      </c>
    </row>
    <row r="1634">
      <c r="A1634" s="31" t="s">
        <v>2144</v>
      </c>
      <c r="B1634" s="32">
        <v>42301.0</v>
      </c>
      <c r="C1634" s="31" t="s">
        <v>2145</v>
      </c>
      <c r="D1634" s="31" t="s">
        <v>47</v>
      </c>
      <c r="E1634" s="31" t="s">
        <v>28</v>
      </c>
      <c r="F1634" s="33">
        <v>454.272</v>
      </c>
      <c r="G1634" s="33">
        <v>8.0</v>
      </c>
      <c r="H1634" s="33">
        <v>-73.8192</v>
      </c>
    </row>
    <row r="1635">
      <c r="A1635" s="31" t="s">
        <v>2146</v>
      </c>
      <c r="B1635" s="32">
        <v>42093.0</v>
      </c>
      <c r="C1635" s="31" t="s">
        <v>1957</v>
      </c>
      <c r="D1635" s="31" t="s">
        <v>38</v>
      </c>
      <c r="E1635" s="31" t="s">
        <v>31</v>
      </c>
      <c r="F1635" s="33">
        <v>23.52</v>
      </c>
      <c r="G1635" s="33">
        <v>5.0</v>
      </c>
      <c r="H1635" s="33">
        <v>8.526</v>
      </c>
    </row>
    <row r="1636">
      <c r="A1636" s="31" t="s">
        <v>2147</v>
      </c>
      <c r="B1636" s="32">
        <v>42068.0</v>
      </c>
      <c r="C1636" s="31" t="s">
        <v>1246</v>
      </c>
      <c r="D1636" s="31" t="s">
        <v>11</v>
      </c>
      <c r="E1636" s="31" t="s">
        <v>31</v>
      </c>
      <c r="F1636" s="33">
        <v>7.104</v>
      </c>
      <c r="G1636" s="33">
        <v>6.0</v>
      </c>
      <c r="H1636" s="33">
        <v>2.4864</v>
      </c>
    </row>
    <row r="1637">
      <c r="A1637" s="31" t="s">
        <v>2148</v>
      </c>
      <c r="B1637" s="32">
        <v>42272.0</v>
      </c>
      <c r="C1637" s="31" t="s">
        <v>2149</v>
      </c>
      <c r="D1637" s="31" t="s">
        <v>11</v>
      </c>
      <c r="E1637" s="31" t="s">
        <v>45</v>
      </c>
      <c r="F1637" s="33">
        <v>10.76</v>
      </c>
      <c r="G1637" s="33">
        <v>2.0</v>
      </c>
      <c r="H1637" s="33">
        <v>5.1648</v>
      </c>
    </row>
    <row r="1638">
      <c r="A1638" s="31" t="s">
        <v>2150</v>
      </c>
      <c r="B1638" s="32">
        <v>42357.0</v>
      </c>
      <c r="C1638" s="31" t="s">
        <v>2151</v>
      </c>
      <c r="D1638" s="31" t="s">
        <v>11</v>
      </c>
      <c r="E1638" s="31" t="s">
        <v>31</v>
      </c>
      <c r="F1638" s="33">
        <v>158.376</v>
      </c>
      <c r="G1638" s="33">
        <v>3.0</v>
      </c>
      <c r="H1638" s="33">
        <v>13.8579</v>
      </c>
    </row>
    <row r="1639">
      <c r="A1639" s="31" t="s">
        <v>2152</v>
      </c>
      <c r="B1639" s="32">
        <v>42285.0</v>
      </c>
      <c r="C1639" s="31" t="s">
        <v>1695</v>
      </c>
      <c r="D1639" s="31" t="s">
        <v>11</v>
      </c>
      <c r="E1639" s="31" t="s">
        <v>31</v>
      </c>
      <c r="F1639" s="33">
        <v>3.44</v>
      </c>
      <c r="G1639" s="33">
        <v>2.0</v>
      </c>
      <c r="H1639" s="33">
        <v>0.559</v>
      </c>
    </row>
    <row r="1640">
      <c r="A1640" s="31" t="s">
        <v>2153</v>
      </c>
      <c r="B1640" s="32">
        <v>42321.0</v>
      </c>
      <c r="C1640" s="31" t="s">
        <v>1192</v>
      </c>
      <c r="D1640" s="31" t="s">
        <v>11</v>
      </c>
      <c r="E1640" s="31" t="s">
        <v>59</v>
      </c>
      <c r="F1640" s="33">
        <v>84.96</v>
      </c>
      <c r="G1640" s="33">
        <v>6.0</v>
      </c>
      <c r="H1640" s="33">
        <v>6.372</v>
      </c>
    </row>
    <row r="1641">
      <c r="A1641" s="31" t="s">
        <v>2154</v>
      </c>
      <c r="B1641" s="32">
        <v>42245.0</v>
      </c>
      <c r="C1641" s="31" t="s">
        <v>2155</v>
      </c>
      <c r="D1641" s="31" t="s">
        <v>47</v>
      </c>
      <c r="E1641" s="31" t="s">
        <v>31</v>
      </c>
      <c r="F1641" s="33">
        <v>131.98</v>
      </c>
      <c r="G1641" s="33">
        <v>2.0</v>
      </c>
      <c r="H1641" s="33">
        <v>35.6346</v>
      </c>
    </row>
    <row r="1642">
      <c r="A1642" s="31" t="s">
        <v>2156</v>
      </c>
      <c r="B1642" s="32">
        <v>42084.0</v>
      </c>
      <c r="C1642" s="31" t="s">
        <v>2157</v>
      </c>
      <c r="D1642" s="31" t="s">
        <v>11</v>
      </c>
      <c r="E1642" s="31" t="s">
        <v>59</v>
      </c>
      <c r="F1642" s="33">
        <v>962.08</v>
      </c>
      <c r="G1642" s="33">
        <v>4.0</v>
      </c>
      <c r="H1642" s="33">
        <v>156.338</v>
      </c>
    </row>
    <row r="1643">
      <c r="A1643" s="31" t="s">
        <v>2158</v>
      </c>
      <c r="B1643" s="32">
        <v>42209.0</v>
      </c>
      <c r="C1643" s="31" t="s">
        <v>2159</v>
      </c>
      <c r="D1643" s="31" t="s">
        <v>47</v>
      </c>
      <c r="E1643" s="31" t="s">
        <v>59</v>
      </c>
      <c r="F1643" s="33">
        <v>20.94</v>
      </c>
      <c r="G1643" s="33">
        <v>3.0</v>
      </c>
      <c r="H1643" s="33">
        <v>6.0726</v>
      </c>
    </row>
    <row r="1644">
      <c r="A1644" s="31" t="s">
        <v>2160</v>
      </c>
      <c r="B1644" s="32">
        <v>42302.0</v>
      </c>
      <c r="C1644" s="31" t="s">
        <v>1793</v>
      </c>
      <c r="D1644" s="31" t="s">
        <v>38</v>
      </c>
      <c r="E1644" s="31" t="s">
        <v>45</v>
      </c>
      <c r="F1644" s="33">
        <v>158.99</v>
      </c>
      <c r="G1644" s="33">
        <v>1.0</v>
      </c>
      <c r="H1644" s="33">
        <v>41.3374</v>
      </c>
    </row>
    <row r="1645">
      <c r="A1645" s="31" t="s">
        <v>2161</v>
      </c>
      <c r="B1645" s="32">
        <v>42215.0</v>
      </c>
      <c r="C1645" s="31" t="s">
        <v>2162</v>
      </c>
      <c r="D1645" s="31" t="s">
        <v>47</v>
      </c>
      <c r="E1645" s="31" t="s">
        <v>31</v>
      </c>
      <c r="F1645" s="33">
        <v>155.88</v>
      </c>
      <c r="G1645" s="33">
        <v>6.0</v>
      </c>
      <c r="H1645" s="33">
        <v>38.97</v>
      </c>
    </row>
    <row r="1646">
      <c r="A1646" s="31" t="s">
        <v>2163</v>
      </c>
      <c r="B1646" s="32">
        <v>42309.0</v>
      </c>
      <c r="C1646" s="31" t="s">
        <v>1290</v>
      </c>
      <c r="D1646" s="31" t="s">
        <v>11</v>
      </c>
      <c r="E1646" s="31" t="s">
        <v>45</v>
      </c>
      <c r="F1646" s="33">
        <v>327.564</v>
      </c>
      <c r="G1646" s="33">
        <v>4.0</v>
      </c>
      <c r="H1646" s="33">
        <v>21.8376</v>
      </c>
    </row>
    <row r="1647">
      <c r="A1647" s="31" t="s">
        <v>2164</v>
      </c>
      <c r="B1647" s="32">
        <v>42160.0</v>
      </c>
      <c r="C1647" s="31" t="s">
        <v>1691</v>
      </c>
      <c r="D1647" s="31" t="s">
        <v>38</v>
      </c>
      <c r="E1647" s="31" t="s">
        <v>45</v>
      </c>
      <c r="F1647" s="33">
        <v>1522.638</v>
      </c>
      <c r="G1647" s="33">
        <v>9.0</v>
      </c>
      <c r="H1647" s="33">
        <v>169.182</v>
      </c>
    </row>
    <row r="1648">
      <c r="A1648" s="31" t="s">
        <v>2165</v>
      </c>
      <c r="B1648" s="32">
        <v>42344.0</v>
      </c>
      <c r="C1648" s="31" t="s">
        <v>1825</v>
      </c>
      <c r="D1648" s="31" t="s">
        <v>11</v>
      </c>
      <c r="E1648" s="31" t="s">
        <v>59</v>
      </c>
      <c r="F1648" s="33">
        <v>173.94</v>
      </c>
      <c r="G1648" s="33">
        <v>6.0</v>
      </c>
      <c r="H1648" s="33">
        <v>50.4426</v>
      </c>
    </row>
    <row r="1649">
      <c r="A1649" s="31" t="s">
        <v>2166</v>
      </c>
      <c r="B1649" s="32">
        <v>42124.0</v>
      </c>
      <c r="C1649" s="31" t="s">
        <v>1807</v>
      </c>
      <c r="D1649" s="31" t="s">
        <v>38</v>
      </c>
      <c r="E1649" s="31" t="s">
        <v>28</v>
      </c>
      <c r="F1649" s="33">
        <v>34.65</v>
      </c>
      <c r="G1649" s="33">
        <v>3.0</v>
      </c>
      <c r="H1649" s="33">
        <v>9.702</v>
      </c>
    </row>
    <row r="1650">
      <c r="A1650" s="31" t="s">
        <v>2167</v>
      </c>
      <c r="B1650" s="32">
        <v>42128.0</v>
      </c>
      <c r="C1650" s="31" t="s">
        <v>1302</v>
      </c>
      <c r="D1650" s="31" t="s">
        <v>38</v>
      </c>
      <c r="E1650" s="31" t="s">
        <v>31</v>
      </c>
      <c r="F1650" s="33">
        <v>125.93</v>
      </c>
      <c r="G1650" s="33">
        <v>7.0</v>
      </c>
      <c r="H1650" s="33">
        <v>35.2604</v>
      </c>
    </row>
    <row r="1651">
      <c r="A1651" s="31" t="s">
        <v>2168</v>
      </c>
      <c r="B1651" s="32">
        <v>42073.0</v>
      </c>
      <c r="C1651" s="31" t="s">
        <v>1807</v>
      </c>
      <c r="D1651" s="31" t="s">
        <v>38</v>
      </c>
      <c r="E1651" s="31" t="s">
        <v>45</v>
      </c>
      <c r="F1651" s="33">
        <v>89.82</v>
      </c>
      <c r="G1651" s="33">
        <v>6.0</v>
      </c>
      <c r="H1651" s="33">
        <v>25.1496</v>
      </c>
    </row>
    <row r="1652">
      <c r="A1652" s="31" t="s">
        <v>2169</v>
      </c>
      <c r="B1652" s="32">
        <v>42115.0</v>
      </c>
      <c r="C1652" s="31" t="s">
        <v>2170</v>
      </c>
      <c r="D1652" s="31" t="s">
        <v>11</v>
      </c>
      <c r="E1652" s="31" t="s">
        <v>59</v>
      </c>
      <c r="F1652" s="33">
        <v>191.96</v>
      </c>
      <c r="G1652" s="33">
        <v>2.0</v>
      </c>
      <c r="H1652" s="33">
        <v>51.8292</v>
      </c>
    </row>
    <row r="1653">
      <c r="A1653" s="31" t="s">
        <v>2171</v>
      </c>
      <c r="B1653" s="32">
        <v>42023.0</v>
      </c>
      <c r="C1653" s="31" t="s">
        <v>2172</v>
      </c>
      <c r="D1653" s="31" t="s">
        <v>11</v>
      </c>
      <c r="E1653" s="31" t="s">
        <v>31</v>
      </c>
      <c r="F1653" s="33">
        <v>102.438</v>
      </c>
      <c r="G1653" s="33">
        <v>1.0</v>
      </c>
      <c r="H1653" s="33">
        <v>-13.1706</v>
      </c>
    </row>
    <row r="1654">
      <c r="A1654" s="31" t="s">
        <v>2173</v>
      </c>
      <c r="B1654" s="32">
        <v>42266.0</v>
      </c>
      <c r="C1654" s="31" t="s">
        <v>2174</v>
      </c>
      <c r="D1654" s="31" t="s">
        <v>11</v>
      </c>
      <c r="E1654" s="31" t="s">
        <v>45</v>
      </c>
      <c r="F1654" s="33">
        <v>279.86</v>
      </c>
      <c r="G1654" s="33">
        <v>14.0</v>
      </c>
      <c r="H1654" s="33">
        <v>134.3328</v>
      </c>
    </row>
    <row r="1655">
      <c r="A1655" s="31" t="s">
        <v>2175</v>
      </c>
      <c r="B1655" s="32">
        <v>42279.0</v>
      </c>
      <c r="C1655" s="31" t="s">
        <v>1415</v>
      </c>
      <c r="D1655" s="31" t="s">
        <v>47</v>
      </c>
      <c r="E1655" s="31" t="s">
        <v>59</v>
      </c>
      <c r="F1655" s="33">
        <v>7.38</v>
      </c>
      <c r="G1655" s="33">
        <v>5.0</v>
      </c>
      <c r="H1655" s="33">
        <v>-5.412</v>
      </c>
    </row>
    <row r="1656">
      <c r="A1656" s="31" t="s">
        <v>2176</v>
      </c>
      <c r="B1656" s="32">
        <v>42226.0</v>
      </c>
      <c r="C1656" s="31" t="s">
        <v>1451</v>
      </c>
      <c r="D1656" s="31" t="s">
        <v>11</v>
      </c>
      <c r="E1656" s="31" t="s">
        <v>28</v>
      </c>
      <c r="F1656" s="33">
        <v>438.368</v>
      </c>
      <c r="G1656" s="33">
        <v>4.0</v>
      </c>
      <c r="H1656" s="33">
        <v>38.3572</v>
      </c>
    </row>
    <row r="1657">
      <c r="A1657" s="31" t="s">
        <v>2177</v>
      </c>
      <c r="B1657" s="32">
        <v>42224.0</v>
      </c>
      <c r="C1657" s="31" t="s">
        <v>1682</v>
      </c>
      <c r="D1657" s="31" t="s">
        <v>11</v>
      </c>
      <c r="E1657" s="31" t="s">
        <v>45</v>
      </c>
      <c r="F1657" s="33">
        <v>39.66</v>
      </c>
      <c r="G1657" s="33">
        <v>2.0</v>
      </c>
      <c r="H1657" s="33">
        <v>11.898</v>
      </c>
    </row>
    <row r="1658">
      <c r="A1658" s="31" t="s">
        <v>2178</v>
      </c>
      <c r="B1658" s="32">
        <v>42258.0</v>
      </c>
      <c r="C1658" s="31" t="s">
        <v>2179</v>
      </c>
      <c r="D1658" s="31" t="s">
        <v>38</v>
      </c>
      <c r="E1658" s="31" t="s">
        <v>28</v>
      </c>
      <c r="F1658" s="33">
        <v>265.86</v>
      </c>
      <c r="G1658" s="33">
        <v>7.0</v>
      </c>
      <c r="H1658" s="33">
        <v>79.758</v>
      </c>
    </row>
    <row r="1659">
      <c r="A1659" s="31" t="s">
        <v>2180</v>
      </c>
      <c r="B1659" s="32">
        <v>42252.0</v>
      </c>
      <c r="C1659" s="31" t="s">
        <v>2181</v>
      </c>
      <c r="D1659" s="31" t="s">
        <v>47</v>
      </c>
      <c r="E1659" s="31" t="s">
        <v>59</v>
      </c>
      <c r="F1659" s="33">
        <v>67.96</v>
      </c>
      <c r="G1659" s="33">
        <v>4.0</v>
      </c>
      <c r="H1659" s="33">
        <v>12.2328</v>
      </c>
    </row>
    <row r="1660">
      <c r="A1660" s="31" t="s">
        <v>2182</v>
      </c>
      <c r="B1660" s="32">
        <v>42329.0</v>
      </c>
      <c r="C1660" s="31" t="s">
        <v>2183</v>
      </c>
      <c r="D1660" s="31" t="s">
        <v>11</v>
      </c>
      <c r="E1660" s="31" t="s">
        <v>31</v>
      </c>
      <c r="F1660" s="33">
        <v>10.92</v>
      </c>
      <c r="G1660" s="33">
        <v>6.0</v>
      </c>
      <c r="H1660" s="33">
        <v>4.914</v>
      </c>
    </row>
    <row r="1661">
      <c r="A1661" s="31" t="s">
        <v>2184</v>
      </c>
      <c r="B1661" s="32">
        <v>42355.0</v>
      </c>
      <c r="C1661" s="31" t="s">
        <v>1980</v>
      </c>
      <c r="D1661" s="31" t="s">
        <v>11</v>
      </c>
      <c r="E1661" s="31" t="s">
        <v>31</v>
      </c>
      <c r="F1661" s="33">
        <v>180.016</v>
      </c>
      <c r="G1661" s="33">
        <v>1.0</v>
      </c>
      <c r="H1661" s="33">
        <v>-15.7514</v>
      </c>
    </row>
    <row r="1662">
      <c r="A1662" s="31" t="s">
        <v>2185</v>
      </c>
      <c r="B1662" s="32">
        <v>42138.0</v>
      </c>
      <c r="C1662" s="31" t="s">
        <v>2186</v>
      </c>
      <c r="D1662" s="31" t="s">
        <v>11</v>
      </c>
      <c r="E1662" s="31" t="s">
        <v>28</v>
      </c>
      <c r="F1662" s="33">
        <v>1117.92</v>
      </c>
      <c r="G1662" s="33">
        <v>4.0</v>
      </c>
      <c r="H1662" s="33">
        <v>55.896</v>
      </c>
    </row>
    <row r="1663">
      <c r="A1663" s="31" t="s">
        <v>2187</v>
      </c>
      <c r="B1663" s="32">
        <v>42144.0</v>
      </c>
      <c r="C1663" s="31" t="s">
        <v>1846</v>
      </c>
      <c r="D1663" s="31" t="s">
        <v>11</v>
      </c>
      <c r="E1663" s="31" t="s">
        <v>59</v>
      </c>
      <c r="F1663" s="33">
        <v>163.136</v>
      </c>
      <c r="G1663" s="33">
        <v>4.0</v>
      </c>
      <c r="H1663" s="33">
        <v>20.392</v>
      </c>
    </row>
    <row r="1664">
      <c r="A1664" s="31" t="s">
        <v>2188</v>
      </c>
      <c r="B1664" s="32">
        <v>42178.0</v>
      </c>
      <c r="C1664" s="31" t="s">
        <v>1266</v>
      </c>
      <c r="D1664" s="31" t="s">
        <v>11</v>
      </c>
      <c r="E1664" s="31" t="s">
        <v>28</v>
      </c>
      <c r="F1664" s="33">
        <v>217.584</v>
      </c>
      <c r="G1664" s="33">
        <v>2.0</v>
      </c>
      <c r="H1664" s="33">
        <v>19.0386</v>
      </c>
    </row>
    <row r="1665">
      <c r="A1665" s="31" t="s">
        <v>2189</v>
      </c>
      <c r="B1665" s="32">
        <v>42322.0</v>
      </c>
      <c r="C1665" s="31" t="s">
        <v>1822</v>
      </c>
      <c r="D1665" s="31" t="s">
        <v>11</v>
      </c>
      <c r="E1665" s="31" t="s">
        <v>28</v>
      </c>
      <c r="F1665" s="33">
        <v>883.84</v>
      </c>
      <c r="G1665" s="33">
        <v>4.0</v>
      </c>
      <c r="H1665" s="33">
        <v>99.432</v>
      </c>
    </row>
    <row r="1666">
      <c r="A1666" s="31" t="s">
        <v>2190</v>
      </c>
      <c r="B1666" s="32">
        <v>42173.0</v>
      </c>
      <c r="C1666" s="31" t="s">
        <v>1332</v>
      </c>
      <c r="D1666" s="31" t="s">
        <v>38</v>
      </c>
      <c r="E1666" s="31" t="s">
        <v>59</v>
      </c>
      <c r="F1666" s="33">
        <v>6.129</v>
      </c>
      <c r="G1666" s="33">
        <v>3.0</v>
      </c>
      <c r="H1666" s="33">
        <v>-4.4946</v>
      </c>
    </row>
    <row r="1667">
      <c r="A1667" s="31" t="s">
        <v>2191</v>
      </c>
      <c r="B1667" s="32">
        <v>42358.0</v>
      </c>
      <c r="C1667" s="31" t="s">
        <v>2192</v>
      </c>
      <c r="D1667" s="31" t="s">
        <v>47</v>
      </c>
      <c r="E1667" s="31" t="s">
        <v>59</v>
      </c>
      <c r="F1667" s="33">
        <v>11.696</v>
      </c>
      <c r="G1667" s="33">
        <v>2.0</v>
      </c>
      <c r="H1667" s="33">
        <v>3.9474</v>
      </c>
    </row>
    <row r="1668">
      <c r="A1668" s="31" t="s">
        <v>2193</v>
      </c>
      <c r="B1668" s="32">
        <v>42051.0</v>
      </c>
      <c r="C1668" s="31" t="s">
        <v>1978</v>
      </c>
      <c r="D1668" s="31" t="s">
        <v>38</v>
      </c>
      <c r="E1668" s="31" t="s">
        <v>45</v>
      </c>
      <c r="F1668" s="33">
        <v>35.88</v>
      </c>
      <c r="G1668" s="33">
        <v>6.0</v>
      </c>
      <c r="H1668" s="33">
        <v>16.146</v>
      </c>
    </row>
    <row r="1669">
      <c r="A1669" s="31" t="s">
        <v>2194</v>
      </c>
      <c r="B1669" s="32">
        <v>42092.0</v>
      </c>
      <c r="C1669" s="31" t="s">
        <v>2195</v>
      </c>
      <c r="D1669" s="31" t="s">
        <v>11</v>
      </c>
      <c r="E1669" s="31" t="s">
        <v>45</v>
      </c>
      <c r="F1669" s="33">
        <v>17.64</v>
      </c>
      <c r="G1669" s="33">
        <v>4.0</v>
      </c>
      <c r="H1669" s="33">
        <v>8.1144</v>
      </c>
    </row>
    <row r="1670">
      <c r="A1670" s="31" t="s">
        <v>2196</v>
      </c>
      <c r="B1670" s="32">
        <v>42260.0</v>
      </c>
      <c r="C1670" s="31" t="s">
        <v>2197</v>
      </c>
      <c r="D1670" s="31" t="s">
        <v>11</v>
      </c>
      <c r="E1670" s="31" t="s">
        <v>59</v>
      </c>
      <c r="F1670" s="33">
        <v>129.93</v>
      </c>
      <c r="G1670" s="33">
        <v>3.0</v>
      </c>
      <c r="H1670" s="33">
        <v>12.993</v>
      </c>
    </row>
    <row r="1671">
      <c r="A1671" s="31" t="s">
        <v>2198</v>
      </c>
      <c r="B1671" s="32">
        <v>42254.0</v>
      </c>
      <c r="C1671" s="31" t="s">
        <v>1457</v>
      </c>
      <c r="D1671" s="31" t="s">
        <v>38</v>
      </c>
      <c r="E1671" s="31" t="s">
        <v>59</v>
      </c>
      <c r="F1671" s="33">
        <v>140.736</v>
      </c>
      <c r="G1671" s="33">
        <v>4.0</v>
      </c>
      <c r="H1671" s="33">
        <v>12.3144</v>
      </c>
    </row>
    <row r="1672">
      <c r="A1672" s="31" t="s">
        <v>2199</v>
      </c>
      <c r="B1672" s="32">
        <v>42324.0</v>
      </c>
      <c r="C1672" s="31" t="s">
        <v>2200</v>
      </c>
      <c r="D1672" s="31" t="s">
        <v>38</v>
      </c>
      <c r="E1672" s="31" t="s">
        <v>31</v>
      </c>
      <c r="F1672" s="33">
        <v>21.488</v>
      </c>
      <c r="G1672" s="33">
        <v>2.0</v>
      </c>
      <c r="H1672" s="33">
        <v>1.6116</v>
      </c>
    </row>
    <row r="1673">
      <c r="A1673" s="31" t="s">
        <v>2201</v>
      </c>
      <c r="B1673" s="32">
        <v>42241.0</v>
      </c>
      <c r="C1673" s="31" t="s">
        <v>1980</v>
      </c>
      <c r="D1673" s="31" t="s">
        <v>11</v>
      </c>
      <c r="E1673" s="31" t="s">
        <v>31</v>
      </c>
      <c r="F1673" s="33">
        <v>20.104</v>
      </c>
      <c r="G1673" s="33">
        <v>2.0</v>
      </c>
      <c r="H1673" s="33">
        <v>-16.5858</v>
      </c>
    </row>
    <row r="1674">
      <c r="A1674" s="31" t="s">
        <v>2202</v>
      </c>
      <c r="B1674" s="32">
        <v>42094.0</v>
      </c>
      <c r="C1674" s="31" t="s">
        <v>1432</v>
      </c>
      <c r="D1674" s="31" t="s">
        <v>38</v>
      </c>
      <c r="E1674" s="31" t="s">
        <v>31</v>
      </c>
      <c r="F1674" s="33">
        <v>98.376</v>
      </c>
      <c r="G1674" s="33">
        <v>3.0</v>
      </c>
      <c r="H1674" s="33">
        <v>35.6613</v>
      </c>
    </row>
    <row r="1675">
      <c r="A1675" s="31" t="s">
        <v>2203</v>
      </c>
      <c r="B1675" s="32">
        <v>42210.0</v>
      </c>
      <c r="C1675" s="31" t="s">
        <v>1967</v>
      </c>
      <c r="D1675" s="31" t="s">
        <v>38</v>
      </c>
      <c r="E1675" s="31" t="s">
        <v>59</v>
      </c>
      <c r="F1675" s="33">
        <v>98.46</v>
      </c>
      <c r="G1675" s="33">
        <v>9.0</v>
      </c>
      <c r="H1675" s="33">
        <v>49.23</v>
      </c>
    </row>
    <row r="1676">
      <c r="A1676" s="31" t="s">
        <v>2204</v>
      </c>
      <c r="B1676" s="32">
        <v>42287.0</v>
      </c>
      <c r="C1676" s="31" t="s">
        <v>2205</v>
      </c>
      <c r="D1676" s="31" t="s">
        <v>11</v>
      </c>
      <c r="E1676" s="31" t="s">
        <v>31</v>
      </c>
      <c r="F1676" s="33">
        <v>8.016</v>
      </c>
      <c r="G1676" s="33">
        <v>3.0</v>
      </c>
      <c r="H1676" s="33">
        <v>1.002</v>
      </c>
    </row>
    <row r="1677">
      <c r="A1677" s="31" t="s">
        <v>2206</v>
      </c>
      <c r="B1677" s="32">
        <v>42191.0</v>
      </c>
      <c r="C1677" s="31" t="s">
        <v>1546</v>
      </c>
      <c r="D1677" s="31" t="s">
        <v>38</v>
      </c>
      <c r="E1677" s="31" t="s">
        <v>45</v>
      </c>
      <c r="F1677" s="33">
        <v>11.12</v>
      </c>
      <c r="G1677" s="33">
        <v>4.0</v>
      </c>
      <c r="H1677" s="33">
        <v>2.8912</v>
      </c>
    </row>
    <row r="1678">
      <c r="A1678" s="31" t="s">
        <v>2207</v>
      </c>
      <c r="B1678" s="32">
        <v>42344.0</v>
      </c>
      <c r="C1678" s="31" t="s">
        <v>1585</v>
      </c>
      <c r="D1678" s="31" t="s">
        <v>47</v>
      </c>
      <c r="E1678" s="31" t="s">
        <v>45</v>
      </c>
      <c r="F1678" s="33">
        <v>14.832</v>
      </c>
      <c r="G1678" s="33">
        <v>3.0</v>
      </c>
      <c r="H1678" s="33">
        <v>-10.3824</v>
      </c>
    </row>
    <row r="1679">
      <c r="A1679" s="31" t="s">
        <v>2208</v>
      </c>
      <c r="B1679" s="32">
        <v>42354.0</v>
      </c>
      <c r="C1679" s="31" t="s">
        <v>1445</v>
      </c>
      <c r="D1679" s="31" t="s">
        <v>11</v>
      </c>
      <c r="E1679" s="31" t="s">
        <v>28</v>
      </c>
      <c r="F1679" s="33">
        <v>4.98</v>
      </c>
      <c r="G1679" s="33">
        <v>1.0</v>
      </c>
      <c r="H1679" s="33">
        <v>2.3406</v>
      </c>
    </row>
    <row r="1680">
      <c r="A1680" s="31" t="s">
        <v>2209</v>
      </c>
      <c r="B1680" s="32">
        <v>42292.0</v>
      </c>
      <c r="C1680" s="31" t="s">
        <v>2210</v>
      </c>
      <c r="D1680" s="31" t="s">
        <v>11</v>
      </c>
      <c r="E1680" s="31" t="s">
        <v>31</v>
      </c>
      <c r="F1680" s="33">
        <v>131.376</v>
      </c>
      <c r="G1680" s="33">
        <v>6.0</v>
      </c>
      <c r="H1680" s="33">
        <v>-95.2476</v>
      </c>
    </row>
    <row r="1681">
      <c r="A1681" s="31" t="s">
        <v>2211</v>
      </c>
      <c r="B1681" s="32">
        <v>42339.0</v>
      </c>
      <c r="C1681" s="31" t="s">
        <v>2181</v>
      </c>
      <c r="D1681" s="31" t="s">
        <v>47</v>
      </c>
      <c r="E1681" s="31" t="s">
        <v>28</v>
      </c>
      <c r="F1681" s="33">
        <v>2003.92</v>
      </c>
      <c r="G1681" s="33">
        <v>5.0</v>
      </c>
      <c r="H1681" s="33">
        <v>125.245</v>
      </c>
    </row>
    <row r="1682">
      <c r="A1682" s="31" t="s">
        <v>2212</v>
      </c>
      <c r="B1682" s="32">
        <v>42155.0</v>
      </c>
      <c r="C1682" s="31" t="s">
        <v>2213</v>
      </c>
      <c r="D1682" s="31" t="s">
        <v>11</v>
      </c>
      <c r="E1682" s="31" t="s">
        <v>31</v>
      </c>
      <c r="F1682" s="33">
        <v>2567.84</v>
      </c>
      <c r="G1682" s="33">
        <v>8.0</v>
      </c>
      <c r="H1682" s="33">
        <v>770.352</v>
      </c>
    </row>
    <row r="1683">
      <c r="A1683" s="31" t="s">
        <v>2214</v>
      </c>
      <c r="B1683" s="32">
        <v>42148.0</v>
      </c>
      <c r="C1683" s="31" t="s">
        <v>2215</v>
      </c>
      <c r="D1683" s="31" t="s">
        <v>11</v>
      </c>
      <c r="E1683" s="31" t="s">
        <v>31</v>
      </c>
      <c r="F1683" s="33">
        <v>602.651</v>
      </c>
      <c r="G1683" s="33">
        <v>7.0</v>
      </c>
      <c r="H1683" s="33">
        <v>-163.5767</v>
      </c>
    </row>
    <row r="1684">
      <c r="A1684" s="31" t="s">
        <v>2216</v>
      </c>
      <c r="B1684" s="32">
        <v>42254.0</v>
      </c>
      <c r="C1684" s="31" t="s">
        <v>2217</v>
      </c>
      <c r="D1684" s="31" t="s">
        <v>47</v>
      </c>
      <c r="E1684" s="31" t="s">
        <v>45</v>
      </c>
      <c r="F1684" s="33">
        <v>559.93</v>
      </c>
      <c r="G1684" s="33">
        <v>7.0</v>
      </c>
      <c r="H1684" s="33">
        <v>167.979</v>
      </c>
    </row>
    <row r="1685">
      <c r="A1685" s="31" t="s">
        <v>2218</v>
      </c>
      <c r="B1685" s="32">
        <v>42167.0</v>
      </c>
      <c r="C1685" s="31" t="s">
        <v>2197</v>
      </c>
      <c r="D1685" s="31" t="s">
        <v>11</v>
      </c>
      <c r="E1685" s="31" t="s">
        <v>59</v>
      </c>
      <c r="F1685" s="33">
        <v>55.984</v>
      </c>
      <c r="G1685" s="33">
        <v>2.0</v>
      </c>
      <c r="H1685" s="33">
        <v>4.1988</v>
      </c>
    </row>
    <row r="1686">
      <c r="A1686" s="31" t="s">
        <v>2219</v>
      </c>
      <c r="B1686" s="32">
        <v>42145.0</v>
      </c>
      <c r="C1686" s="31" t="s">
        <v>1474</v>
      </c>
      <c r="D1686" s="31" t="s">
        <v>38</v>
      </c>
      <c r="E1686" s="31" t="s">
        <v>45</v>
      </c>
      <c r="F1686" s="33">
        <v>24.588</v>
      </c>
      <c r="G1686" s="33">
        <v>2.0</v>
      </c>
      <c r="H1686" s="33">
        <v>-18.0312</v>
      </c>
    </row>
    <row r="1687">
      <c r="A1687" s="31" t="s">
        <v>2220</v>
      </c>
      <c r="B1687" s="32">
        <v>42079.0</v>
      </c>
      <c r="C1687" s="31" t="s">
        <v>2221</v>
      </c>
      <c r="D1687" s="31" t="s">
        <v>11</v>
      </c>
      <c r="E1687" s="31" t="s">
        <v>59</v>
      </c>
      <c r="F1687" s="33">
        <v>491.55</v>
      </c>
      <c r="G1687" s="33">
        <v>5.0</v>
      </c>
      <c r="H1687" s="33">
        <v>240.8595</v>
      </c>
    </row>
    <row r="1688">
      <c r="A1688" s="31" t="s">
        <v>2222</v>
      </c>
      <c r="B1688" s="32">
        <v>42338.0</v>
      </c>
      <c r="C1688" s="31" t="s">
        <v>2223</v>
      </c>
      <c r="D1688" s="31" t="s">
        <v>11</v>
      </c>
      <c r="E1688" s="31" t="s">
        <v>45</v>
      </c>
      <c r="F1688" s="33">
        <v>23.66</v>
      </c>
      <c r="G1688" s="33">
        <v>7.0</v>
      </c>
      <c r="H1688" s="33">
        <v>10.8836</v>
      </c>
    </row>
    <row r="1689">
      <c r="A1689" s="31" t="s">
        <v>2224</v>
      </c>
      <c r="B1689" s="32">
        <v>42210.0</v>
      </c>
      <c r="C1689" s="31" t="s">
        <v>2225</v>
      </c>
      <c r="D1689" s="31" t="s">
        <v>11</v>
      </c>
      <c r="E1689" s="31" t="s">
        <v>28</v>
      </c>
      <c r="F1689" s="33">
        <v>623.96</v>
      </c>
      <c r="G1689" s="33">
        <v>5.0</v>
      </c>
      <c r="H1689" s="33">
        <v>38.9975</v>
      </c>
    </row>
    <row r="1690">
      <c r="A1690" s="31" t="s">
        <v>2226</v>
      </c>
      <c r="B1690" s="32">
        <v>42317.0</v>
      </c>
      <c r="C1690" s="31" t="s">
        <v>1168</v>
      </c>
      <c r="D1690" s="31" t="s">
        <v>47</v>
      </c>
      <c r="E1690" s="31" t="s">
        <v>28</v>
      </c>
      <c r="F1690" s="33">
        <v>2.48</v>
      </c>
      <c r="G1690" s="33">
        <v>2.0</v>
      </c>
      <c r="H1690" s="33">
        <v>1.1656</v>
      </c>
    </row>
    <row r="1691">
      <c r="A1691" s="31" t="s">
        <v>2227</v>
      </c>
      <c r="B1691" s="32">
        <v>42119.0</v>
      </c>
      <c r="C1691" s="31" t="s">
        <v>1436</v>
      </c>
      <c r="D1691" s="31" t="s">
        <v>11</v>
      </c>
      <c r="E1691" s="31" t="s">
        <v>31</v>
      </c>
      <c r="F1691" s="33">
        <v>221.024</v>
      </c>
      <c r="G1691" s="33">
        <v>2.0</v>
      </c>
      <c r="H1691" s="33">
        <v>-55.256</v>
      </c>
    </row>
    <row r="1692">
      <c r="A1692" s="31" t="s">
        <v>2228</v>
      </c>
      <c r="B1692" s="32">
        <v>42328.0</v>
      </c>
      <c r="C1692" s="31" t="s">
        <v>2229</v>
      </c>
      <c r="D1692" s="31" t="s">
        <v>38</v>
      </c>
      <c r="E1692" s="31" t="s">
        <v>31</v>
      </c>
      <c r="F1692" s="33">
        <v>479.988</v>
      </c>
      <c r="G1692" s="33">
        <v>2.0</v>
      </c>
      <c r="H1692" s="33">
        <v>55.9986</v>
      </c>
    </row>
    <row r="1693">
      <c r="A1693" s="31" t="s">
        <v>2230</v>
      </c>
      <c r="B1693" s="32">
        <v>42279.0</v>
      </c>
      <c r="C1693" s="31" t="s">
        <v>2231</v>
      </c>
      <c r="D1693" s="31" t="s">
        <v>11</v>
      </c>
      <c r="E1693" s="31" t="s">
        <v>28</v>
      </c>
      <c r="F1693" s="33">
        <v>11.808</v>
      </c>
      <c r="G1693" s="33">
        <v>3.0</v>
      </c>
      <c r="H1693" s="33">
        <v>4.1328</v>
      </c>
    </row>
    <row r="1694">
      <c r="A1694" s="31" t="s">
        <v>2232</v>
      </c>
      <c r="B1694" s="32">
        <v>42119.0</v>
      </c>
      <c r="C1694" s="31" t="s">
        <v>2233</v>
      </c>
      <c r="D1694" s="31" t="s">
        <v>38</v>
      </c>
      <c r="E1694" s="31" t="s">
        <v>28</v>
      </c>
      <c r="F1694" s="33">
        <v>21.34</v>
      </c>
      <c r="G1694" s="33">
        <v>2.0</v>
      </c>
      <c r="H1694" s="33">
        <v>9.8164</v>
      </c>
    </row>
    <row r="1695">
      <c r="A1695" s="31" t="s">
        <v>2234</v>
      </c>
      <c r="B1695" s="32">
        <v>42274.0</v>
      </c>
      <c r="C1695" s="31" t="s">
        <v>2235</v>
      </c>
      <c r="D1695" s="31" t="s">
        <v>47</v>
      </c>
      <c r="E1695" s="31" t="s">
        <v>28</v>
      </c>
      <c r="F1695" s="33">
        <v>15.51</v>
      </c>
      <c r="G1695" s="33">
        <v>1.0</v>
      </c>
      <c r="H1695" s="33">
        <v>4.3428</v>
      </c>
    </row>
    <row r="1696">
      <c r="A1696" s="31" t="s">
        <v>2236</v>
      </c>
      <c r="B1696" s="32">
        <v>42293.0</v>
      </c>
      <c r="C1696" s="31" t="s">
        <v>1746</v>
      </c>
      <c r="D1696" s="31" t="s">
        <v>38</v>
      </c>
      <c r="E1696" s="31" t="s">
        <v>45</v>
      </c>
      <c r="F1696" s="33">
        <v>824.97</v>
      </c>
      <c r="G1696" s="33">
        <v>3.0</v>
      </c>
      <c r="H1696" s="33">
        <v>214.4922</v>
      </c>
    </row>
    <row r="1697">
      <c r="A1697" s="31" t="s">
        <v>2237</v>
      </c>
      <c r="B1697" s="32">
        <v>42183.0</v>
      </c>
      <c r="C1697" s="31" t="s">
        <v>1910</v>
      </c>
      <c r="D1697" s="31" t="s">
        <v>38</v>
      </c>
      <c r="E1697" s="31" t="s">
        <v>28</v>
      </c>
      <c r="F1697" s="33">
        <v>5.904</v>
      </c>
      <c r="G1697" s="33">
        <v>2.0</v>
      </c>
      <c r="H1697" s="33">
        <v>1.9926</v>
      </c>
    </row>
    <row r="1698">
      <c r="A1698" s="31" t="s">
        <v>2238</v>
      </c>
      <c r="B1698" s="32">
        <v>42316.0</v>
      </c>
      <c r="C1698" s="31" t="s">
        <v>1677</v>
      </c>
      <c r="D1698" s="31" t="s">
        <v>11</v>
      </c>
      <c r="E1698" s="31" t="s">
        <v>59</v>
      </c>
      <c r="F1698" s="33">
        <v>44.43</v>
      </c>
      <c r="G1698" s="33">
        <v>3.0</v>
      </c>
      <c r="H1698" s="33">
        <v>18.6606</v>
      </c>
    </row>
    <row r="1699">
      <c r="A1699" s="31" t="s">
        <v>2239</v>
      </c>
      <c r="B1699" s="32">
        <v>42327.0</v>
      </c>
      <c r="C1699" s="31" t="s">
        <v>2240</v>
      </c>
      <c r="D1699" s="31" t="s">
        <v>38</v>
      </c>
      <c r="E1699" s="31" t="s">
        <v>28</v>
      </c>
      <c r="F1699" s="33">
        <v>31.08</v>
      </c>
      <c r="G1699" s="33">
        <v>4.0</v>
      </c>
      <c r="H1699" s="33">
        <v>8.3916</v>
      </c>
    </row>
    <row r="1700">
      <c r="A1700" s="31" t="s">
        <v>2241</v>
      </c>
      <c r="B1700" s="32">
        <v>42093.0</v>
      </c>
      <c r="C1700" s="31" t="s">
        <v>1587</v>
      </c>
      <c r="D1700" s="31" t="s">
        <v>47</v>
      </c>
      <c r="E1700" s="31" t="s">
        <v>31</v>
      </c>
      <c r="F1700" s="33">
        <v>366.744</v>
      </c>
      <c r="G1700" s="33">
        <v>4.0</v>
      </c>
      <c r="H1700" s="33">
        <v>-110.0232</v>
      </c>
    </row>
    <row r="1701">
      <c r="A1701" s="31" t="s">
        <v>2242</v>
      </c>
      <c r="B1701" s="32">
        <v>42309.0</v>
      </c>
      <c r="C1701" s="31" t="s">
        <v>1152</v>
      </c>
      <c r="D1701" s="31" t="s">
        <v>11</v>
      </c>
      <c r="E1701" s="31" t="s">
        <v>45</v>
      </c>
      <c r="F1701" s="33">
        <v>205.164</v>
      </c>
      <c r="G1701" s="33">
        <v>2.0</v>
      </c>
      <c r="H1701" s="33">
        <v>13.6776</v>
      </c>
    </row>
    <row r="1702">
      <c r="A1702" s="31" t="s">
        <v>2243</v>
      </c>
      <c r="B1702" s="32">
        <v>42237.0</v>
      </c>
      <c r="C1702" s="31" t="s">
        <v>1940</v>
      </c>
      <c r="D1702" s="31" t="s">
        <v>38</v>
      </c>
      <c r="E1702" s="31" t="s">
        <v>45</v>
      </c>
      <c r="F1702" s="33">
        <v>12.828</v>
      </c>
      <c r="G1702" s="33">
        <v>2.0</v>
      </c>
      <c r="H1702" s="33">
        <v>-8.9796</v>
      </c>
    </row>
    <row r="1703">
      <c r="A1703" s="31" t="s">
        <v>2244</v>
      </c>
      <c r="B1703" s="32">
        <v>42038.0</v>
      </c>
      <c r="C1703" s="31" t="s">
        <v>1701</v>
      </c>
      <c r="D1703" s="31" t="s">
        <v>38</v>
      </c>
      <c r="E1703" s="31" t="s">
        <v>28</v>
      </c>
      <c r="F1703" s="33">
        <v>12.144</v>
      </c>
      <c r="G1703" s="33">
        <v>3.0</v>
      </c>
      <c r="H1703" s="33">
        <v>4.0986</v>
      </c>
    </row>
    <row r="1704">
      <c r="A1704" s="31" t="s">
        <v>2245</v>
      </c>
      <c r="B1704" s="32">
        <v>42302.0</v>
      </c>
      <c r="C1704" s="31" t="s">
        <v>2246</v>
      </c>
      <c r="D1704" s="31" t="s">
        <v>11</v>
      </c>
      <c r="E1704" s="31" t="s">
        <v>28</v>
      </c>
      <c r="F1704" s="33">
        <v>79.36</v>
      </c>
      <c r="G1704" s="33">
        <v>4.0</v>
      </c>
      <c r="H1704" s="33">
        <v>23.808</v>
      </c>
    </row>
    <row r="1705">
      <c r="A1705" s="31" t="s">
        <v>2247</v>
      </c>
      <c r="B1705" s="32">
        <v>42013.0</v>
      </c>
      <c r="C1705" s="31" t="s">
        <v>1715</v>
      </c>
      <c r="D1705" s="31" t="s">
        <v>11</v>
      </c>
      <c r="E1705" s="31" t="s">
        <v>59</v>
      </c>
      <c r="F1705" s="33">
        <v>106.32</v>
      </c>
      <c r="G1705" s="33">
        <v>3.0</v>
      </c>
      <c r="H1705" s="33">
        <v>49.9704</v>
      </c>
    </row>
    <row r="1706">
      <c r="A1706" s="31" t="s">
        <v>2248</v>
      </c>
      <c r="B1706" s="32">
        <v>42044.0</v>
      </c>
      <c r="C1706" s="31" t="s">
        <v>1756</v>
      </c>
      <c r="D1706" s="31" t="s">
        <v>11</v>
      </c>
      <c r="E1706" s="31" t="s">
        <v>31</v>
      </c>
      <c r="F1706" s="33">
        <v>479.952</v>
      </c>
      <c r="G1706" s="33">
        <v>6.0</v>
      </c>
      <c r="H1706" s="33">
        <v>89.991</v>
      </c>
    </row>
    <row r="1707">
      <c r="A1707" s="31" t="s">
        <v>2249</v>
      </c>
      <c r="B1707" s="32">
        <v>42364.0</v>
      </c>
      <c r="C1707" s="31" t="s">
        <v>2250</v>
      </c>
      <c r="D1707" s="31" t="s">
        <v>11</v>
      </c>
      <c r="E1707" s="31" t="s">
        <v>45</v>
      </c>
      <c r="F1707" s="33">
        <v>212.64</v>
      </c>
      <c r="G1707" s="33">
        <v>6.0</v>
      </c>
      <c r="H1707" s="33">
        <v>99.9408</v>
      </c>
    </row>
    <row r="1708">
      <c r="A1708" s="31" t="s">
        <v>2251</v>
      </c>
      <c r="B1708" s="32">
        <v>42225.0</v>
      </c>
      <c r="C1708" s="31" t="s">
        <v>1890</v>
      </c>
      <c r="D1708" s="31" t="s">
        <v>38</v>
      </c>
      <c r="E1708" s="31" t="s">
        <v>45</v>
      </c>
      <c r="F1708" s="33">
        <v>10.02</v>
      </c>
      <c r="G1708" s="33">
        <v>3.0</v>
      </c>
      <c r="H1708" s="33">
        <v>4.4088</v>
      </c>
    </row>
    <row r="1709">
      <c r="A1709" s="31" t="s">
        <v>2252</v>
      </c>
      <c r="B1709" s="32">
        <v>42328.0</v>
      </c>
      <c r="C1709" s="31" t="s">
        <v>2041</v>
      </c>
      <c r="D1709" s="31" t="s">
        <v>11</v>
      </c>
      <c r="E1709" s="31" t="s">
        <v>59</v>
      </c>
      <c r="F1709" s="33">
        <v>7.23</v>
      </c>
      <c r="G1709" s="33">
        <v>5.0</v>
      </c>
      <c r="H1709" s="33">
        <v>-5.784</v>
      </c>
    </row>
    <row r="1710">
      <c r="A1710" s="31" t="s">
        <v>2253</v>
      </c>
      <c r="B1710" s="32">
        <v>42181.0</v>
      </c>
      <c r="C1710" s="31" t="s">
        <v>1099</v>
      </c>
      <c r="D1710" s="31" t="s">
        <v>11</v>
      </c>
      <c r="E1710" s="31" t="s">
        <v>31</v>
      </c>
      <c r="F1710" s="33">
        <v>971.88</v>
      </c>
      <c r="G1710" s="33">
        <v>3.0</v>
      </c>
      <c r="H1710" s="33">
        <v>109.3365</v>
      </c>
    </row>
    <row r="1711">
      <c r="A1711" s="31" t="s">
        <v>2254</v>
      </c>
      <c r="B1711" s="32">
        <v>42348.0</v>
      </c>
      <c r="C1711" s="31" t="s">
        <v>2157</v>
      </c>
      <c r="D1711" s="31" t="s">
        <v>11</v>
      </c>
      <c r="E1711" s="31" t="s">
        <v>31</v>
      </c>
      <c r="F1711" s="33">
        <v>53.088</v>
      </c>
      <c r="G1711" s="33">
        <v>7.0</v>
      </c>
      <c r="H1711" s="33">
        <v>-108.8304</v>
      </c>
    </row>
    <row r="1712">
      <c r="A1712" s="31" t="s">
        <v>2255</v>
      </c>
      <c r="B1712" s="32">
        <v>42363.0</v>
      </c>
      <c r="C1712" s="31" t="s">
        <v>2256</v>
      </c>
      <c r="D1712" s="31" t="s">
        <v>11</v>
      </c>
      <c r="E1712" s="31" t="s">
        <v>59</v>
      </c>
      <c r="F1712" s="33">
        <v>275.88</v>
      </c>
      <c r="G1712" s="33">
        <v>6.0</v>
      </c>
      <c r="H1712" s="33">
        <v>46.8996</v>
      </c>
    </row>
    <row r="1713">
      <c r="A1713" s="31" t="s">
        <v>2257</v>
      </c>
      <c r="B1713" s="32">
        <v>42137.0</v>
      </c>
      <c r="C1713" s="31" t="s">
        <v>1860</v>
      </c>
      <c r="D1713" s="31" t="s">
        <v>47</v>
      </c>
      <c r="E1713" s="31" t="s">
        <v>31</v>
      </c>
      <c r="F1713" s="33">
        <v>222.384</v>
      </c>
      <c r="G1713" s="33">
        <v>2.0</v>
      </c>
      <c r="H1713" s="33">
        <v>16.6788</v>
      </c>
    </row>
    <row r="1714">
      <c r="A1714" s="31" t="s">
        <v>2258</v>
      </c>
      <c r="B1714" s="32">
        <v>42227.0</v>
      </c>
      <c r="C1714" s="31" t="s">
        <v>1353</v>
      </c>
      <c r="D1714" s="31" t="s">
        <v>47</v>
      </c>
      <c r="E1714" s="31" t="s">
        <v>45</v>
      </c>
      <c r="F1714" s="33">
        <v>11.96</v>
      </c>
      <c r="G1714" s="33">
        <v>2.0</v>
      </c>
      <c r="H1714" s="33">
        <v>3.1096</v>
      </c>
    </row>
    <row r="1715">
      <c r="A1715" s="31" t="s">
        <v>2259</v>
      </c>
      <c r="B1715" s="32">
        <v>42257.0</v>
      </c>
      <c r="C1715" s="31" t="s">
        <v>2260</v>
      </c>
      <c r="D1715" s="31" t="s">
        <v>11</v>
      </c>
      <c r="E1715" s="31" t="s">
        <v>45</v>
      </c>
      <c r="F1715" s="33">
        <v>6.08</v>
      </c>
      <c r="G1715" s="33">
        <v>2.0</v>
      </c>
      <c r="H1715" s="33">
        <v>2.0672</v>
      </c>
    </row>
    <row r="1716">
      <c r="A1716" s="31" t="s">
        <v>2261</v>
      </c>
      <c r="B1716" s="32">
        <v>42274.0</v>
      </c>
      <c r="C1716" s="31" t="s">
        <v>2262</v>
      </c>
      <c r="D1716" s="31" t="s">
        <v>38</v>
      </c>
      <c r="E1716" s="31" t="s">
        <v>31</v>
      </c>
      <c r="F1716" s="33">
        <v>16.4</v>
      </c>
      <c r="G1716" s="33">
        <v>5.0</v>
      </c>
      <c r="H1716" s="33">
        <v>4.756</v>
      </c>
    </row>
    <row r="1717">
      <c r="A1717" s="31" t="s">
        <v>2263</v>
      </c>
      <c r="B1717" s="32">
        <v>42127.0</v>
      </c>
      <c r="C1717" s="31" t="s">
        <v>1068</v>
      </c>
      <c r="D1717" s="31" t="s">
        <v>11</v>
      </c>
      <c r="E1717" s="31" t="s">
        <v>28</v>
      </c>
      <c r="F1717" s="33">
        <v>8.82</v>
      </c>
      <c r="G1717" s="33">
        <v>3.0</v>
      </c>
      <c r="H1717" s="33">
        <v>2.5578</v>
      </c>
    </row>
    <row r="1718">
      <c r="A1718" s="31" t="s">
        <v>2264</v>
      </c>
      <c r="B1718" s="32">
        <v>42159.0</v>
      </c>
      <c r="C1718" s="31" t="s">
        <v>2265</v>
      </c>
      <c r="D1718" s="31" t="s">
        <v>11</v>
      </c>
      <c r="E1718" s="31" t="s">
        <v>28</v>
      </c>
      <c r="F1718" s="33">
        <v>119.98</v>
      </c>
      <c r="G1718" s="33">
        <v>2.0</v>
      </c>
      <c r="H1718" s="33">
        <v>35.994</v>
      </c>
    </row>
    <row r="1719">
      <c r="A1719" s="31" t="s">
        <v>2266</v>
      </c>
      <c r="B1719" s="32">
        <v>42321.0</v>
      </c>
      <c r="C1719" s="31" t="s">
        <v>2267</v>
      </c>
      <c r="D1719" s="31" t="s">
        <v>47</v>
      </c>
      <c r="E1719" s="31" t="s">
        <v>28</v>
      </c>
      <c r="F1719" s="33">
        <v>339.96</v>
      </c>
      <c r="G1719" s="33">
        <v>5.0</v>
      </c>
      <c r="H1719" s="33">
        <v>42.495</v>
      </c>
    </row>
    <row r="1720">
      <c r="A1720" s="31" t="s">
        <v>2268</v>
      </c>
      <c r="B1720" s="32">
        <v>42056.0</v>
      </c>
      <c r="C1720" s="31" t="s">
        <v>1590</v>
      </c>
      <c r="D1720" s="31" t="s">
        <v>11</v>
      </c>
      <c r="E1720" s="31" t="s">
        <v>45</v>
      </c>
      <c r="F1720" s="33">
        <v>2541.98</v>
      </c>
      <c r="G1720" s="33">
        <v>2.0</v>
      </c>
      <c r="H1720" s="33">
        <v>1270.99</v>
      </c>
    </row>
    <row r="1721">
      <c r="A1721" s="31" t="s">
        <v>2269</v>
      </c>
      <c r="B1721" s="32">
        <v>42150.0</v>
      </c>
      <c r="C1721" s="31" t="s">
        <v>2048</v>
      </c>
      <c r="D1721" s="31" t="s">
        <v>11</v>
      </c>
      <c r="E1721" s="31" t="s">
        <v>28</v>
      </c>
      <c r="F1721" s="33">
        <v>20.24</v>
      </c>
      <c r="G1721" s="33">
        <v>1.0</v>
      </c>
      <c r="H1721" s="33">
        <v>7.8936</v>
      </c>
    </row>
    <row r="1722">
      <c r="A1722" s="31" t="s">
        <v>2270</v>
      </c>
      <c r="B1722" s="32">
        <v>42045.0</v>
      </c>
      <c r="C1722" s="31" t="s">
        <v>2130</v>
      </c>
      <c r="D1722" s="31" t="s">
        <v>38</v>
      </c>
      <c r="E1722" s="31" t="s">
        <v>45</v>
      </c>
      <c r="F1722" s="33">
        <v>77.24</v>
      </c>
      <c r="G1722" s="33">
        <v>5.0</v>
      </c>
      <c r="H1722" s="33">
        <v>7.724</v>
      </c>
    </row>
    <row r="1723">
      <c r="A1723" s="31" t="s">
        <v>2271</v>
      </c>
      <c r="B1723" s="32">
        <v>42226.0</v>
      </c>
      <c r="C1723" s="31" t="s">
        <v>2213</v>
      </c>
      <c r="D1723" s="31" t="s">
        <v>11</v>
      </c>
      <c r="E1723" s="31" t="s">
        <v>31</v>
      </c>
      <c r="F1723" s="33">
        <v>64.75</v>
      </c>
      <c r="G1723" s="33">
        <v>5.0</v>
      </c>
      <c r="H1723" s="33">
        <v>29.1375</v>
      </c>
    </row>
    <row r="1724">
      <c r="A1724" s="31" t="s">
        <v>2272</v>
      </c>
      <c r="B1724" s="32">
        <v>42286.0</v>
      </c>
      <c r="C1724" s="31" t="s">
        <v>2273</v>
      </c>
      <c r="D1724" s="31" t="s">
        <v>11</v>
      </c>
      <c r="E1724" s="31" t="s">
        <v>59</v>
      </c>
      <c r="F1724" s="33">
        <v>1.872</v>
      </c>
      <c r="G1724" s="33">
        <v>2.0</v>
      </c>
      <c r="H1724" s="33">
        <v>-1.3104</v>
      </c>
    </row>
    <row r="1725">
      <c r="A1725" s="31" t="s">
        <v>2274</v>
      </c>
      <c r="B1725" s="32">
        <v>42105.0</v>
      </c>
      <c r="C1725" s="31" t="s">
        <v>2151</v>
      </c>
      <c r="D1725" s="31" t="s">
        <v>11</v>
      </c>
      <c r="E1725" s="31" t="s">
        <v>59</v>
      </c>
      <c r="F1725" s="33">
        <v>67.36</v>
      </c>
      <c r="G1725" s="33">
        <v>2.0</v>
      </c>
      <c r="H1725" s="33">
        <v>10.104</v>
      </c>
    </row>
    <row r="1726">
      <c r="A1726" s="31" t="s">
        <v>2275</v>
      </c>
      <c r="B1726" s="32">
        <v>42363.0</v>
      </c>
      <c r="C1726" s="31" t="s">
        <v>2106</v>
      </c>
      <c r="D1726" s="31" t="s">
        <v>11</v>
      </c>
      <c r="E1726" s="31" t="s">
        <v>45</v>
      </c>
      <c r="F1726" s="33">
        <v>843.9</v>
      </c>
      <c r="G1726" s="33">
        <v>2.0</v>
      </c>
      <c r="H1726" s="33">
        <v>371.316</v>
      </c>
    </row>
    <row r="1727">
      <c r="A1727" s="31" t="s">
        <v>2276</v>
      </c>
      <c r="B1727" s="32">
        <v>42203.0</v>
      </c>
      <c r="C1727" s="31" t="s">
        <v>1490</v>
      </c>
      <c r="D1727" s="31" t="s">
        <v>38</v>
      </c>
      <c r="E1727" s="31" t="s">
        <v>45</v>
      </c>
      <c r="F1727" s="33">
        <v>5.76</v>
      </c>
      <c r="G1727" s="33">
        <v>2.0</v>
      </c>
      <c r="H1727" s="33">
        <v>1.6128</v>
      </c>
    </row>
    <row r="1728">
      <c r="A1728" s="31" t="s">
        <v>2277</v>
      </c>
      <c r="B1728" s="32">
        <v>42369.0</v>
      </c>
      <c r="C1728" s="31" t="s">
        <v>1710</v>
      </c>
      <c r="D1728" s="31" t="s">
        <v>38</v>
      </c>
      <c r="E1728" s="31" t="s">
        <v>31</v>
      </c>
      <c r="F1728" s="33">
        <v>116.4</v>
      </c>
      <c r="G1728" s="33">
        <v>8.0</v>
      </c>
      <c r="H1728" s="33">
        <v>52.38</v>
      </c>
    </row>
    <row r="1729">
      <c r="A1729" s="31" t="s">
        <v>2278</v>
      </c>
      <c r="B1729" s="32">
        <v>42072.0</v>
      </c>
      <c r="C1729" s="31" t="s">
        <v>2279</v>
      </c>
      <c r="D1729" s="31" t="s">
        <v>11</v>
      </c>
      <c r="E1729" s="31" t="s">
        <v>59</v>
      </c>
      <c r="F1729" s="33">
        <v>4.608</v>
      </c>
      <c r="G1729" s="33">
        <v>2.0</v>
      </c>
      <c r="H1729" s="33">
        <v>1.6704</v>
      </c>
    </row>
    <row r="1730">
      <c r="A1730" s="31" t="s">
        <v>2280</v>
      </c>
      <c r="B1730" s="32">
        <v>42155.0</v>
      </c>
      <c r="C1730" s="31" t="s">
        <v>2281</v>
      </c>
      <c r="D1730" s="31" t="s">
        <v>11</v>
      </c>
      <c r="E1730" s="31" t="s">
        <v>59</v>
      </c>
      <c r="F1730" s="33">
        <v>10.272</v>
      </c>
      <c r="G1730" s="33">
        <v>3.0</v>
      </c>
      <c r="H1730" s="33">
        <v>1.1556</v>
      </c>
    </row>
    <row r="1731">
      <c r="A1731" s="31" t="s">
        <v>2282</v>
      </c>
      <c r="B1731" s="32">
        <v>42138.0</v>
      </c>
      <c r="C1731" s="31" t="s">
        <v>1271</v>
      </c>
      <c r="D1731" s="31" t="s">
        <v>38</v>
      </c>
      <c r="E1731" s="31" t="s">
        <v>28</v>
      </c>
      <c r="F1731" s="33">
        <v>509.9575</v>
      </c>
      <c r="G1731" s="33">
        <v>5.0</v>
      </c>
      <c r="H1731" s="33">
        <v>41.9965</v>
      </c>
    </row>
    <row r="1732">
      <c r="A1732" s="31" t="s">
        <v>2283</v>
      </c>
      <c r="B1732" s="32">
        <v>42211.0</v>
      </c>
      <c r="C1732" s="31" t="s">
        <v>2284</v>
      </c>
      <c r="D1732" s="31" t="s">
        <v>38</v>
      </c>
      <c r="E1732" s="31" t="s">
        <v>28</v>
      </c>
      <c r="F1732" s="33">
        <v>9.144</v>
      </c>
      <c r="G1732" s="33">
        <v>3.0</v>
      </c>
      <c r="H1732" s="33">
        <v>3.0861</v>
      </c>
    </row>
    <row r="1733">
      <c r="A1733" s="31" t="s">
        <v>2285</v>
      </c>
      <c r="B1733" s="32">
        <v>42087.0</v>
      </c>
      <c r="C1733" s="31" t="s">
        <v>2081</v>
      </c>
      <c r="D1733" s="31" t="s">
        <v>38</v>
      </c>
      <c r="E1733" s="31" t="s">
        <v>28</v>
      </c>
      <c r="F1733" s="33">
        <v>46.9</v>
      </c>
      <c r="G1733" s="33">
        <v>5.0</v>
      </c>
      <c r="H1733" s="33">
        <v>13.132</v>
      </c>
    </row>
    <row r="1734">
      <c r="A1734" s="31" t="s">
        <v>2286</v>
      </c>
      <c r="B1734" s="32">
        <v>42324.0</v>
      </c>
      <c r="C1734" s="31" t="s">
        <v>2287</v>
      </c>
      <c r="D1734" s="31" t="s">
        <v>38</v>
      </c>
      <c r="E1734" s="31" t="s">
        <v>28</v>
      </c>
      <c r="F1734" s="33">
        <v>18.9</v>
      </c>
      <c r="G1734" s="33">
        <v>3.0</v>
      </c>
      <c r="H1734" s="33">
        <v>8.694</v>
      </c>
    </row>
    <row r="1735">
      <c r="A1735" s="31" t="s">
        <v>2288</v>
      </c>
      <c r="B1735" s="32">
        <v>42110.0</v>
      </c>
      <c r="C1735" s="31" t="s">
        <v>1392</v>
      </c>
      <c r="D1735" s="31" t="s">
        <v>11</v>
      </c>
      <c r="E1735" s="31" t="s">
        <v>59</v>
      </c>
      <c r="F1735" s="33">
        <v>569.64</v>
      </c>
      <c r="G1735" s="33">
        <v>2.0</v>
      </c>
      <c r="H1735" s="33">
        <v>148.1064</v>
      </c>
    </row>
    <row r="1736">
      <c r="A1736" s="31" t="s">
        <v>2289</v>
      </c>
      <c r="B1736" s="32">
        <v>42105.0</v>
      </c>
      <c r="C1736" s="31" t="s">
        <v>1455</v>
      </c>
      <c r="D1736" s="31" t="s">
        <v>11</v>
      </c>
      <c r="E1736" s="31" t="s">
        <v>28</v>
      </c>
      <c r="F1736" s="33">
        <v>639.968</v>
      </c>
      <c r="G1736" s="33">
        <v>4.0</v>
      </c>
      <c r="H1736" s="33">
        <v>215.9892</v>
      </c>
    </row>
    <row r="1737">
      <c r="A1737" s="31" t="s">
        <v>2290</v>
      </c>
      <c r="B1737" s="32">
        <v>42062.0</v>
      </c>
      <c r="C1737" s="31" t="s">
        <v>2291</v>
      </c>
      <c r="D1737" s="31" t="s">
        <v>11</v>
      </c>
      <c r="E1737" s="31" t="s">
        <v>28</v>
      </c>
      <c r="F1737" s="33">
        <v>538.92</v>
      </c>
      <c r="G1737" s="33">
        <v>9.0</v>
      </c>
      <c r="H1737" s="33">
        <v>80.838</v>
      </c>
    </row>
    <row r="1738">
      <c r="A1738" s="31" t="s">
        <v>2292</v>
      </c>
      <c r="B1738" s="32">
        <v>42262.0</v>
      </c>
      <c r="C1738" s="31" t="s">
        <v>2293</v>
      </c>
      <c r="D1738" s="31" t="s">
        <v>38</v>
      </c>
      <c r="E1738" s="31" t="s">
        <v>45</v>
      </c>
      <c r="F1738" s="33">
        <v>3.576</v>
      </c>
      <c r="G1738" s="33">
        <v>4.0</v>
      </c>
      <c r="H1738" s="33">
        <v>-2.8608</v>
      </c>
    </row>
    <row r="1739">
      <c r="A1739" s="31" t="s">
        <v>2294</v>
      </c>
      <c r="B1739" s="32">
        <v>42357.0</v>
      </c>
      <c r="C1739" s="31" t="s">
        <v>2295</v>
      </c>
      <c r="D1739" s="31" t="s">
        <v>47</v>
      </c>
      <c r="E1739" s="31" t="s">
        <v>45</v>
      </c>
      <c r="F1739" s="33">
        <v>29.9</v>
      </c>
      <c r="G1739" s="33">
        <v>5.0</v>
      </c>
      <c r="H1739" s="33">
        <v>14.651</v>
      </c>
    </row>
    <row r="1740">
      <c r="A1740" s="31" t="s">
        <v>2296</v>
      </c>
      <c r="B1740" s="32">
        <v>42257.0</v>
      </c>
      <c r="C1740" s="31" t="s">
        <v>1400</v>
      </c>
      <c r="D1740" s="31" t="s">
        <v>38</v>
      </c>
      <c r="E1740" s="31" t="s">
        <v>28</v>
      </c>
      <c r="F1740" s="33">
        <v>106.68</v>
      </c>
      <c r="G1740" s="33">
        <v>6.0</v>
      </c>
      <c r="H1740" s="33">
        <v>33.0708</v>
      </c>
    </row>
    <row r="1741">
      <c r="A1741" s="31" t="s">
        <v>2297</v>
      </c>
      <c r="B1741" s="32">
        <v>42346.0</v>
      </c>
      <c r="C1741" s="31" t="s">
        <v>1967</v>
      </c>
      <c r="D1741" s="31" t="s">
        <v>38</v>
      </c>
      <c r="E1741" s="31" t="s">
        <v>28</v>
      </c>
      <c r="F1741" s="33">
        <v>221.96</v>
      </c>
      <c r="G1741" s="33">
        <v>2.0</v>
      </c>
      <c r="H1741" s="33">
        <v>4.4392</v>
      </c>
    </row>
    <row r="1742">
      <c r="A1742" s="31" t="s">
        <v>2298</v>
      </c>
      <c r="B1742" s="32">
        <v>42331.0</v>
      </c>
      <c r="C1742" s="31" t="s">
        <v>2299</v>
      </c>
      <c r="D1742" s="31" t="s">
        <v>11</v>
      </c>
      <c r="E1742" s="31" t="s">
        <v>45</v>
      </c>
      <c r="F1742" s="33">
        <v>2625.12</v>
      </c>
      <c r="G1742" s="33">
        <v>8.0</v>
      </c>
      <c r="H1742" s="33">
        <v>735.0336</v>
      </c>
    </row>
    <row r="1743">
      <c r="A1743" s="31" t="s">
        <v>2300</v>
      </c>
      <c r="B1743" s="32">
        <v>42229.0</v>
      </c>
      <c r="C1743" s="31" t="s">
        <v>2301</v>
      </c>
      <c r="D1743" s="31" t="s">
        <v>11</v>
      </c>
      <c r="E1743" s="31" t="s">
        <v>45</v>
      </c>
      <c r="F1743" s="33">
        <v>422.856</v>
      </c>
      <c r="G1743" s="33">
        <v>3.0</v>
      </c>
      <c r="H1743" s="33">
        <v>15.8571</v>
      </c>
    </row>
    <row r="1744">
      <c r="A1744" s="31" t="s">
        <v>2302</v>
      </c>
      <c r="B1744" s="32">
        <v>42110.0</v>
      </c>
      <c r="C1744" s="31" t="s">
        <v>2303</v>
      </c>
      <c r="D1744" s="31" t="s">
        <v>38</v>
      </c>
      <c r="E1744" s="31" t="s">
        <v>45</v>
      </c>
      <c r="F1744" s="33">
        <v>127.764</v>
      </c>
      <c r="G1744" s="33">
        <v>2.0</v>
      </c>
      <c r="H1744" s="33">
        <v>2.8392</v>
      </c>
    </row>
    <row r="1745">
      <c r="A1745" s="31" t="s">
        <v>2304</v>
      </c>
      <c r="B1745" s="32">
        <v>42272.0</v>
      </c>
      <c r="C1745" s="31" t="s">
        <v>1744</v>
      </c>
      <c r="D1745" s="31" t="s">
        <v>11</v>
      </c>
      <c r="E1745" s="31" t="s">
        <v>31</v>
      </c>
      <c r="F1745" s="33">
        <v>128.744</v>
      </c>
      <c r="G1745" s="33">
        <v>7.0</v>
      </c>
      <c r="H1745" s="33">
        <v>12.8744</v>
      </c>
    </row>
    <row r="1746">
      <c r="A1746" s="31" t="s">
        <v>2305</v>
      </c>
      <c r="B1746" s="32">
        <v>42170.0</v>
      </c>
      <c r="C1746" s="31" t="s">
        <v>2229</v>
      </c>
      <c r="D1746" s="31" t="s">
        <v>38</v>
      </c>
      <c r="E1746" s="31" t="s">
        <v>28</v>
      </c>
      <c r="F1746" s="33">
        <v>225.576</v>
      </c>
      <c r="G1746" s="33">
        <v>3.0</v>
      </c>
      <c r="H1746" s="33">
        <v>22.5576</v>
      </c>
    </row>
    <row r="1747">
      <c r="A1747" s="31" t="s">
        <v>2306</v>
      </c>
      <c r="B1747" s="32">
        <v>42043.0</v>
      </c>
      <c r="C1747" s="31" t="s">
        <v>2037</v>
      </c>
      <c r="D1747" s="31" t="s">
        <v>11</v>
      </c>
      <c r="E1747" s="31" t="s">
        <v>31</v>
      </c>
      <c r="F1747" s="33">
        <v>9.54</v>
      </c>
      <c r="G1747" s="33">
        <v>2.0</v>
      </c>
      <c r="H1747" s="33">
        <v>4.293</v>
      </c>
    </row>
    <row r="1748">
      <c r="A1748" s="31" t="s">
        <v>2307</v>
      </c>
      <c r="B1748" s="32">
        <v>42240.0</v>
      </c>
      <c r="C1748" s="31" t="s">
        <v>1513</v>
      </c>
      <c r="D1748" s="31" t="s">
        <v>11</v>
      </c>
      <c r="E1748" s="31" t="s">
        <v>45</v>
      </c>
      <c r="F1748" s="33">
        <v>14.91</v>
      </c>
      <c r="G1748" s="33">
        <v>3.0</v>
      </c>
      <c r="H1748" s="33">
        <v>4.6221</v>
      </c>
    </row>
    <row r="1749">
      <c r="A1749" s="31" t="s">
        <v>2308</v>
      </c>
      <c r="B1749" s="32">
        <v>42147.0</v>
      </c>
      <c r="C1749" s="31" t="s">
        <v>1852</v>
      </c>
      <c r="D1749" s="31" t="s">
        <v>47</v>
      </c>
      <c r="E1749" s="31" t="s">
        <v>31</v>
      </c>
      <c r="F1749" s="33">
        <v>850.5</v>
      </c>
      <c r="G1749" s="33">
        <v>5.0</v>
      </c>
      <c r="H1749" s="33">
        <v>245.7</v>
      </c>
    </row>
    <row r="1750">
      <c r="A1750" s="31" t="s">
        <v>2309</v>
      </c>
      <c r="B1750" s="32">
        <v>42329.0</v>
      </c>
      <c r="C1750" s="31" t="s">
        <v>2310</v>
      </c>
      <c r="D1750" s="31" t="s">
        <v>38</v>
      </c>
      <c r="E1750" s="31" t="s">
        <v>28</v>
      </c>
      <c r="F1750" s="33">
        <v>325.632</v>
      </c>
      <c r="G1750" s="33">
        <v>6.0</v>
      </c>
      <c r="H1750" s="33">
        <v>28.4928</v>
      </c>
    </row>
    <row r="1751">
      <c r="A1751" s="31" t="s">
        <v>2311</v>
      </c>
      <c r="B1751" s="32">
        <v>42099.0</v>
      </c>
      <c r="C1751" s="31" t="s">
        <v>1814</v>
      </c>
      <c r="D1751" s="31" t="s">
        <v>38</v>
      </c>
      <c r="E1751" s="31" t="s">
        <v>28</v>
      </c>
      <c r="F1751" s="33">
        <v>892.224</v>
      </c>
      <c r="G1751" s="33">
        <v>3.0</v>
      </c>
      <c r="H1751" s="33">
        <v>89.2224</v>
      </c>
    </row>
    <row r="1752">
      <c r="A1752" s="31" t="s">
        <v>2312</v>
      </c>
      <c r="B1752" s="32">
        <v>42365.0</v>
      </c>
      <c r="C1752" s="31" t="s">
        <v>1188</v>
      </c>
      <c r="D1752" s="31" t="s">
        <v>38</v>
      </c>
      <c r="E1752" s="31" t="s">
        <v>45</v>
      </c>
      <c r="F1752" s="33">
        <v>1548.99</v>
      </c>
      <c r="G1752" s="33">
        <v>9.0</v>
      </c>
      <c r="H1752" s="33">
        <v>-464.697</v>
      </c>
    </row>
    <row r="1753">
      <c r="A1753" s="31" t="s">
        <v>2313</v>
      </c>
      <c r="B1753" s="32">
        <v>42085.0</v>
      </c>
      <c r="C1753" s="31" t="s">
        <v>2314</v>
      </c>
      <c r="D1753" s="31" t="s">
        <v>38</v>
      </c>
      <c r="E1753" s="31" t="s">
        <v>59</v>
      </c>
      <c r="F1753" s="33">
        <v>19.56</v>
      </c>
      <c r="G1753" s="33">
        <v>4.0</v>
      </c>
      <c r="H1753" s="33">
        <v>5.4768</v>
      </c>
    </row>
    <row r="1754">
      <c r="A1754" s="31" t="s">
        <v>2315</v>
      </c>
      <c r="B1754" s="32">
        <v>42338.0</v>
      </c>
      <c r="C1754" s="31" t="s">
        <v>1531</v>
      </c>
      <c r="D1754" s="31" t="s">
        <v>11</v>
      </c>
      <c r="E1754" s="31" t="s">
        <v>28</v>
      </c>
      <c r="F1754" s="33">
        <v>80.96</v>
      </c>
      <c r="G1754" s="33">
        <v>4.0</v>
      </c>
      <c r="H1754" s="33">
        <v>29.1456</v>
      </c>
    </row>
    <row r="1755">
      <c r="A1755" s="31" t="s">
        <v>2316</v>
      </c>
      <c r="B1755" s="32">
        <v>42335.0</v>
      </c>
      <c r="C1755" s="31" t="s">
        <v>1799</v>
      </c>
      <c r="D1755" s="31" t="s">
        <v>47</v>
      </c>
      <c r="E1755" s="31" t="s">
        <v>45</v>
      </c>
      <c r="F1755" s="33">
        <v>40.08</v>
      </c>
      <c r="G1755" s="33">
        <v>6.0</v>
      </c>
      <c r="H1755" s="33">
        <v>19.2384</v>
      </c>
    </row>
    <row r="1756">
      <c r="A1756" s="31" t="s">
        <v>2317</v>
      </c>
      <c r="B1756" s="32">
        <v>42122.0</v>
      </c>
      <c r="C1756" s="31" t="s">
        <v>2097</v>
      </c>
      <c r="D1756" s="31" t="s">
        <v>47</v>
      </c>
      <c r="E1756" s="31" t="s">
        <v>31</v>
      </c>
      <c r="F1756" s="33">
        <v>186.732</v>
      </c>
      <c r="G1756" s="33">
        <v>1.0</v>
      </c>
      <c r="H1756" s="33">
        <v>41.496</v>
      </c>
    </row>
    <row r="1757">
      <c r="A1757" s="31" t="s">
        <v>2318</v>
      </c>
      <c r="B1757" s="32">
        <v>42049.0</v>
      </c>
      <c r="C1757" s="31" t="s">
        <v>2089</v>
      </c>
      <c r="D1757" s="31" t="s">
        <v>11</v>
      </c>
      <c r="E1757" s="31" t="s">
        <v>45</v>
      </c>
      <c r="F1757" s="33">
        <v>26.424</v>
      </c>
      <c r="G1757" s="33">
        <v>9.0</v>
      </c>
      <c r="H1757" s="33">
        <v>9.5787</v>
      </c>
    </row>
    <row r="1758">
      <c r="A1758" s="31" t="s">
        <v>2319</v>
      </c>
      <c r="B1758" s="32">
        <v>42096.0</v>
      </c>
      <c r="C1758" s="31" t="s">
        <v>1212</v>
      </c>
      <c r="D1758" s="31" t="s">
        <v>11</v>
      </c>
      <c r="E1758" s="31" t="s">
        <v>28</v>
      </c>
      <c r="F1758" s="33">
        <v>87.8</v>
      </c>
      <c r="G1758" s="33">
        <v>5.0</v>
      </c>
      <c r="H1758" s="33">
        <v>32.925</v>
      </c>
    </row>
    <row r="1759">
      <c r="A1759" s="31" t="s">
        <v>2320</v>
      </c>
      <c r="B1759" s="32">
        <v>42010.0</v>
      </c>
      <c r="C1759" s="31" t="s">
        <v>1390</v>
      </c>
      <c r="D1759" s="31" t="s">
        <v>38</v>
      </c>
      <c r="E1759" s="31" t="s">
        <v>28</v>
      </c>
      <c r="F1759" s="33">
        <v>29.6</v>
      </c>
      <c r="G1759" s="33">
        <v>5.0</v>
      </c>
      <c r="H1759" s="33">
        <v>9.25</v>
      </c>
    </row>
    <row r="1760">
      <c r="A1760" s="31" t="s">
        <v>2321</v>
      </c>
      <c r="B1760" s="32">
        <v>42009.0</v>
      </c>
      <c r="C1760" s="31" t="s">
        <v>2322</v>
      </c>
      <c r="D1760" s="31" t="s">
        <v>38</v>
      </c>
      <c r="E1760" s="31" t="s">
        <v>45</v>
      </c>
      <c r="F1760" s="33">
        <v>59.52</v>
      </c>
      <c r="G1760" s="33">
        <v>3.0</v>
      </c>
      <c r="H1760" s="33">
        <v>15.4752</v>
      </c>
    </row>
    <row r="1761">
      <c r="A1761" s="31" t="s">
        <v>2323</v>
      </c>
      <c r="B1761" s="32">
        <v>42257.0</v>
      </c>
      <c r="C1761" s="31" t="s">
        <v>2324</v>
      </c>
      <c r="D1761" s="31" t="s">
        <v>38</v>
      </c>
      <c r="E1761" s="31" t="s">
        <v>31</v>
      </c>
      <c r="F1761" s="33">
        <v>179.886</v>
      </c>
      <c r="G1761" s="33">
        <v>1.0</v>
      </c>
      <c r="H1761" s="33">
        <v>-2.5698</v>
      </c>
    </row>
    <row r="1762">
      <c r="A1762" s="31" t="s">
        <v>2325</v>
      </c>
      <c r="B1762" s="32">
        <v>42079.0</v>
      </c>
      <c r="C1762" s="31" t="s">
        <v>1085</v>
      </c>
      <c r="D1762" s="31" t="s">
        <v>47</v>
      </c>
      <c r="E1762" s="31" t="s">
        <v>45</v>
      </c>
      <c r="F1762" s="33">
        <v>17.52</v>
      </c>
      <c r="G1762" s="33">
        <v>3.0</v>
      </c>
      <c r="H1762" s="33">
        <v>6.3072</v>
      </c>
    </row>
    <row r="1763">
      <c r="A1763" s="31" t="s">
        <v>2326</v>
      </c>
      <c r="B1763" s="32">
        <v>42271.0</v>
      </c>
      <c r="C1763" s="31" t="s">
        <v>2327</v>
      </c>
      <c r="D1763" s="31" t="s">
        <v>11</v>
      </c>
      <c r="E1763" s="31" t="s">
        <v>28</v>
      </c>
      <c r="F1763" s="33">
        <v>35.12</v>
      </c>
      <c r="G1763" s="33">
        <v>2.0</v>
      </c>
      <c r="H1763" s="33">
        <v>13.17</v>
      </c>
    </row>
    <row r="1764">
      <c r="A1764" s="31" t="s">
        <v>2328</v>
      </c>
      <c r="B1764" s="32">
        <v>42357.0</v>
      </c>
      <c r="C1764" s="31" t="s">
        <v>1789</v>
      </c>
      <c r="D1764" s="31" t="s">
        <v>47</v>
      </c>
      <c r="E1764" s="31" t="s">
        <v>31</v>
      </c>
      <c r="F1764" s="33">
        <v>25.488</v>
      </c>
      <c r="G1764" s="33">
        <v>2.0</v>
      </c>
      <c r="H1764" s="33">
        <v>4.779</v>
      </c>
    </row>
    <row r="1765">
      <c r="A1765" s="31" t="s">
        <v>2329</v>
      </c>
      <c r="B1765" s="32">
        <v>42155.0</v>
      </c>
      <c r="C1765" s="31" t="s">
        <v>1429</v>
      </c>
      <c r="D1765" s="31" t="s">
        <v>47</v>
      </c>
      <c r="E1765" s="31" t="s">
        <v>45</v>
      </c>
      <c r="F1765" s="33">
        <v>7.56</v>
      </c>
      <c r="G1765" s="33">
        <v>6.0</v>
      </c>
      <c r="H1765" s="33">
        <v>0.3024</v>
      </c>
    </row>
    <row r="1766">
      <c r="A1766" s="31" t="s">
        <v>2330</v>
      </c>
      <c r="B1766" s="32">
        <v>42173.0</v>
      </c>
      <c r="C1766" s="31" t="s">
        <v>2331</v>
      </c>
      <c r="D1766" s="31" t="s">
        <v>11</v>
      </c>
      <c r="E1766" s="31" t="s">
        <v>59</v>
      </c>
      <c r="F1766" s="33">
        <v>60.84</v>
      </c>
      <c r="G1766" s="33">
        <v>3.0</v>
      </c>
      <c r="H1766" s="33">
        <v>19.4688</v>
      </c>
    </row>
    <row r="1767">
      <c r="A1767" s="31" t="s">
        <v>2332</v>
      </c>
      <c r="B1767" s="32">
        <v>42338.0</v>
      </c>
      <c r="C1767" s="31" t="s">
        <v>1801</v>
      </c>
      <c r="D1767" s="31" t="s">
        <v>38</v>
      </c>
      <c r="E1767" s="31" t="s">
        <v>59</v>
      </c>
      <c r="F1767" s="33">
        <v>17.088</v>
      </c>
      <c r="G1767" s="33">
        <v>2.0</v>
      </c>
      <c r="H1767" s="33">
        <v>1.068</v>
      </c>
    </row>
    <row r="1768">
      <c r="A1768" s="31" t="s">
        <v>2333</v>
      </c>
      <c r="B1768" s="32">
        <v>42359.0</v>
      </c>
      <c r="C1768" s="31" t="s">
        <v>2334</v>
      </c>
      <c r="D1768" s="31" t="s">
        <v>38</v>
      </c>
      <c r="E1768" s="31" t="s">
        <v>45</v>
      </c>
      <c r="F1768" s="33">
        <v>3.008</v>
      </c>
      <c r="G1768" s="33">
        <v>2.0</v>
      </c>
      <c r="H1768" s="33">
        <v>0.3384</v>
      </c>
    </row>
    <row r="1769">
      <c r="A1769" s="31" t="s">
        <v>2335</v>
      </c>
      <c r="B1769" s="32">
        <v>42038.0</v>
      </c>
      <c r="C1769" s="31" t="s">
        <v>2336</v>
      </c>
      <c r="D1769" s="31" t="s">
        <v>11</v>
      </c>
      <c r="E1769" s="31" t="s">
        <v>59</v>
      </c>
      <c r="F1769" s="33">
        <v>74.52</v>
      </c>
      <c r="G1769" s="33">
        <v>9.0</v>
      </c>
      <c r="H1769" s="33">
        <v>35.0244</v>
      </c>
    </row>
    <row r="1770">
      <c r="A1770" s="31" t="s">
        <v>2337</v>
      </c>
      <c r="B1770" s="32">
        <v>42240.0</v>
      </c>
      <c r="C1770" s="31" t="s">
        <v>1123</v>
      </c>
      <c r="D1770" s="31" t="s">
        <v>11</v>
      </c>
      <c r="E1770" s="31" t="s">
        <v>28</v>
      </c>
      <c r="F1770" s="33">
        <v>7.152</v>
      </c>
      <c r="G1770" s="33">
        <v>3.0</v>
      </c>
      <c r="H1770" s="33">
        <v>0.7152</v>
      </c>
    </row>
    <row r="1771">
      <c r="A1771" s="31" t="s">
        <v>2338</v>
      </c>
      <c r="B1771" s="32">
        <v>42071.0</v>
      </c>
      <c r="C1771" s="31" t="s">
        <v>2336</v>
      </c>
      <c r="D1771" s="31" t="s">
        <v>11</v>
      </c>
      <c r="E1771" s="31" t="s">
        <v>31</v>
      </c>
      <c r="F1771" s="33">
        <v>8.568</v>
      </c>
      <c r="G1771" s="33">
        <v>3.0</v>
      </c>
      <c r="H1771" s="33">
        <v>-14.5656</v>
      </c>
    </row>
    <row r="1772">
      <c r="A1772" s="31" t="s">
        <v>2339</v>
      </c>
      <c r="B1772" s="32">
        <v>42350.0</v>
      </c>
      <c r="C1772" s="31" t="s">
        <v>2340</v>
      </c>
      <c r="D1772" s="31" t="s">
        <v>38</v>
      </c>
      <c r="E1772" s="31" t="s">
        <v>28</v>
      </c>
      <c r="F1772" s="33">
        <v>32.4</v>
      </c>
      <c r="G1772" s="33">
        <v>5.0</v>
      </c>
      <c r="H1772" s="33">
        <v>15.876</v>
      </c>
    </row>
    <row r="1773">
      <c r="A1773" s="31" t="s">
        <v>2341</v>
      </c>
      <c r="B1773" s="32">
        <v>42197.0</v>
      </c>
      <c r="C1773" s="31" t="s">
        <v>2342</v>
      </c>
      <c r="D1773" s="31" t="s">
        <v>11</v>
      </c>
      <c r="E1773" s="31" t="s">
        <v>31</v>
      </c>
      <c r="F1773" s="33">
        <v>307.168</v>
      </c>
      <c r="G1773" s="33">
        <v>4.0</v>
      </c>
      <c r="H1773" s="33">
        <v>30.7168</v>
      </c>
    </row>
    <row r="1774">
      <c r="A1774" s="31" t="s">
        <v>2343</v>
      </c>
      <c r="B1774" s="32">
        <v>42279.0</v>
      </c>
      <c r="C1774" s="31" t="s">
        <v>1746</v>
      </c>
      <c r="D1774" s="31" t="s">
        <v>38</v>
      </c>
      <c r="E1774" s="31" t="s">
        <v>45</v>
      </c>
      <c r="F1774" s="33">
        <v>26.9</v>
      </c>
      <c r="G1774" s="33">
        <v>5.0</v>
      </c>
      <c r="H1774" s="33">
        <v>13.181</v>
      </c>
    </row>
    <row r="1775">
      <c r="A1775" s="31" t="s">
        <v>2344</v>
      </c>
      <c r="B1775" s="32">
        <v>42269.0</v>
      </c>
      <c r="C1775" s="31" t="s">
        <v>2345</v>
      </c>
      <c r="D1775" s="31" t="s">
        <v>47</v>
      </c>
      <c r="E1775" s="31" t="s">
        <v>59</v>
      </c>
      <c r="F1775" s="33">
        <v>12.0</v>
      </c>
      <c r="G1775" s="33">
        <v>4.0</v>
      </c>
      <c r="H1775" s="33">
        <v>4.2</v>
      </c>
    </row>
    <row r="1776">
      <c r="A1776" s="31" t="s">
        <v>2346</v>
      </c>
      <c r="B1776" s="32">
        <v>42038.0</v>
      </c>
      <c r="C1776" s="31" t="s">
        <v>2347</v>
      </c>
      <c r="D1776" s="31" t="s">
        <v>38</v>
      </c>
      <c r="E1776" s="31" t="s">
        <v>45</v>
      </c>
      <c r="F1776" s="33">
        <v>90.882</v>
      </c>
      <c r="G1776" s="33">
        <v>1.0</v>
      </c>
      <c r="H1776" s="33">
        <v>15.147</v>
      </c>
    </row>
    <row r="1777">
      <c r="A1777" s="31" t="s">
        <v>2348</v>
      </c>
      <c r="B1777" s="32">
        <v>42120.0</v>
      </c>
      <c r="C1777" s="31" t="s">
        <v>1194</v>
      </c>
      <c r="D1777" s="31" t="s">
        <v>38</v>
      </c>
      <c r="E1777" s="31" t="s">
        <v>28</v>
      </c>
      <c r="F1777" s="33">
        <v>63.936</v>
      </c>
      <c r="G1777" s="33">
        <v>3.0</v>
      </c>
      <c r="H1777" s="33">
        <v>6.3936</v>
      </c>
    </row>
    <row r="1778">
      <c r="A1778" s="31" t="s">
        <v>2349</v>
      </c>
      <c r="B1778" s="32">
        <v>42028.0</v>
      </c>
      <c r="C1778" s="31" t="s">
        <v>2350</v>
      </c>
      <c r="D1778" s="31" t="s">
        <v>47</v>
      </c>
      <c r="E1778" s="31" t="s">
        <v>59</v>
      </c>
      <c r="F1778" s="33">
        <v>13.12</v>
      </c>
      <c r="G1778" s="33">
        <v>5.0</v>
      </c>
      <c r="H1778" s="33">
        <v>2.132</v>
      </c>
    </row>
    <row r="1779">
      <c r="A1779" s="31" t="s">
        <v>2351</v>
      </c>
      <c r="B1779" s="32">
        <v>42107.0</v>
      </c>
      <c r="C1779" s="31" t="s">
        <v>2352</v>
      </c>
      <c r="D1779" s="31" t="s">
        <v>11</v>
      </c>
      <c r="E1779" s="31" t="s">
        <v>28</v>
      </c>
      <c r="F1779" s="33">
        <v>241.568</v>
      </c>
      <c r="G1779" s="33">
        <v>2.0</v>
      </c>
      <c r="H1779" s="33">
        <v>-15.098</v>
      </c>
    </row>
    <row r="1780">
      <c r="A1780" s="31" t="s">
        <v>2353</v>
      </c>
      <c r="B1780" s="32">
        <v>42272.0</v>
      </c>
      <c r="C1780" s="31" t="s">
        <v>2354</v>
      </c>
      <c r="D1780" s="31" t="s">
        <v>38</v>
      </c>
      <c r="E1780" s="31" t="s">
        <v>28</v>
      </c>
      <c r="F1780" s="33">
        <v>307.136</v>
      </c>
      <c r="G1780" s="33">
        <v>4.0</v>
      </c>
      <c r="H1780" s="33">
        <v>-11.5176</v>
      </c>
    </row>
    <row r="1781">
      <c r="A1781" s="31" t="s">
        <v>2355</v>
      </c>
      <c r="B1781" s="32">
        <v>42274.0</v>
      </c>
      <c r="C1781" s="31" t="s">
        <v>2126</v>
      </c>
      <c r="D1781" s="31" t="s">
        <v>11</v>
      </c>
      <c r="E1781" s="31" t="s">
        <v>59</v>
      </c>
      <c r="F1781" s="33">
        <v>154.9</v>
      </c>
      <c r="G1781" s="33">
        <v>5.0</v>
      </c>
      <c r="H1781" s="33">
        <v>69.705</v>
      </c>
    </row>
    <row r="1782">
      <c r="A1782" s="31" t="s">
        <v>2356</v>
      </c>
      <c r="B1782" s="32">
        <v>42363.0</v>
      </c>
      <c r="C1782" s="31" t="s">
        <v>2357</v>
      </c>
      <c r="D1782" s="31" t="s">
        <v>47</v>
      </c>
      <c r="E1782" s="31" t="s">
        <v>28</v>
      </c>
      <c r="F1782" s="33">
        <v>9.96</v>
      </c>
      <c r="G1782" s="33">
        <v>2.0</v>
      </c>
      <c r="H1782" s="33">
        <v>4.8804</v>
      </c>
    </row>
    <row r="1783">
      <c r="A1783" s="31" t="s">
        <v>2358</v>
      </c>
      <c r="B1783" s="32">
        <v>42289.0</v>
      </c>
      <c r="C1783" s="31" t="s">
        <v>1671</v>
      </c>
      <c r="D1783" s="31" t="s">
        <v>11</v>
      </c>
      <c r="E1783" s="31" t="s">
        <v>28</v>
      </c>
      <c r="F1783" s="33">
        <v>17.9</v>
      </c>
      <c r="G1783" s="33">
        <v>2.0</v>
      </c>
      <c r="H1783" s="33">
        <v>3.401</v>
      </c>
    </row>
    <row r="1784">
      <c r="A1784" s="31" t="s">
        <v>2359</v>
      </c>
      <c r="B1784" s="32">
        <v>42199.0</v>
      </c>
      <c r="C1784" s="31" t="s">
        <v>2279</v>
      </c>
      <c r="D1784" s="31" t="s">
        <v>11</v>
      </c>
      <c r="E1784" s="31" t="s">
        <v>28</v>
      </c>
      <c r="F1784" s="33">
        <v>272.736</v>
      </c>
      <c r="G1784" s="33">
        <v>3.0</v>
      </c>
      <c r="H1784" s="33">
        <v>-64.7748</v>
      </c>
    </row>
    <row r="1785">
      <c r="A1785" s="31" t="s">
        <v>2360</v>
      </c>
      <c r="B1785" s="32">
        <v>42075.0</v>
      </c>
      <c r="C1785" s="31" t="s">
        <v>2361</v>
      </c>
      <c r="D1785" s="31" t="s">
        <v>11</v>
      </c>
      <c r="E1785" s="31" t="s">
        <v>59</v>
      </c>
      <c r="F1785" s="33">
        <v>5.04</v>
      </c>
      <c r="G1785" s="33">
        <v>2.0</v>
      </c>
      <c r="H1785" s="33">
        <v>1.764</v>
      </c>
    </row>
    <row r="1786">
      <c r="A1786" s="31" t="s">
        <v>2362</v>
      </c>
      <c r="B1786" s="32">
        <v>42315.0</v>
      </c>
      <c r="C1786" s="31" t="s">
        <v>2363</v>
      </c>
      <c r="D1786" s="31" t="s">
        <v>11</v>
      </c>
      <c r="E1786" s="31" t="s">
        <v>31</v>
      </c>
      <c r="F1786" s="33">
        <v>76.64</v>
      </c>
      <c r="G1786" s="33">
        <v>2.0</v>
      </c>
      <c r="H1786" s="33">
        <v>26.824</v>
      </c>
    </row>
    <row r="1787">
      <c r="A1787" s="31" t="s">
        <v>2364</v>
      </c>
      <c r="B1787" s="32">
        <v>42292.0</v>
      </c>
      <c r="C1787" s="31" t="s">
        <v>1607</v>
      </c>
      <c r="D1787" s="31" t="s">
        <v>47</v>
      </c>
      <c r="E1787" s="31" t="s">
        <v>31</v>
      </c>
      <c r="F1787" s="33">
        <v>4.464</v>
      </c>
      <c r="G1787" s="33">
        <v>1.0</v>
      </c>
      <c r="H1787" s="33">
        <v>1.674</v>
      </c>
    </row>
    <row r="1788">
      <c r="A1788" s="31" t="s">
        <v>2365</v>
      </c>
      <c r="B1788" s="32">
        <v>42328.0</v>
      </c>
      <c r="C1788" s="31" t="s">
        <v>1368</v>
      </c>
      <c r="D1788" s="31" t="s">
        <v>47</v>
      </c>
      <c r="E1788" s="31" t="s">
        <v>45</v>
      </c>
      <c r="F1788" s="33">
        <v>344.372</v>
      </c>
      <c r="G1788" s="33">
        <v>4.0</v>
      </c>
      <c r="H1788" s="33">
        <v>-93.4724</v>
      </c>
    </row>
    <row r="1789">
      <c r="A1789" s="31" t="s">
        <v>2366</v>
      </c>
      <c r="B1789" s="32">
        <v>42189.0</v>
      </c>
      <c r="C1789" s="31" t="s">
        <v>2367</v>
      </c>
      <c r="D1789" s="31" t="s">
        <v>47</v>
      </c>
      <c r="E1789" s="31" t="s">
        <v>28</v>
      </c>
      <c r="F1789" s="33">
        <v>22.848</v>
      </c>
      <c r="G1789" s="33">
        <v>2.0</v>
      </c>
      <c r="H1789" s="33">
        <v>7.4256</v>
      </c>
    </row>
    <row r="1790">
      <c r="A1790" s="31" t="s">
        <v>2368</v>
      </c>
      <c r="B1790" s="32">
        <v>42327.0</v>
      </c>
      <c r="C1790" s="31" t="s">
        <v>1377</v>
      </c>
      <c r="D1790" s="31" t="s">
        <v>11</v>
      </c>
      <c r="E1790" s="31" t="s">
        <v>45</v>
      </c>
      <c r="F1790" s="33">
        <v>5.984</v>
      </c>
      <c r="G1790" s="33">
        <v>2.0</v>
      </c>
      <c r="H1790" s="33">
        <v>2.244</v>
      </c>
    </row>
    <row r="1791">
      <c r="A1791" s="31" t="s">
        <v>2369</v>
      </c>
      <c r="B1791" s="32">
        <v>42086.0</v>
      </c>
      <c r="C1791" s="31" t="s">
        <v>2284</v>
      </c>
      <c r="D1791" s="31" t="s">
        <v>38</v>
      </c>
      <c r="E1791" s="31" t="s">
        <v>28</v>
      </c>
      <c r="F1791" s="33">
        <v>33.36</v>
      </c>
      <c r="G1791" s="33">
        <v>4.0</v>
      </c>
      <c r="H1791" s="33">
        <v>16.68</v>
      </c>
    </row>
    <row r="1792">
      <c r="A1792" s="31" t="s">
        <v>2370</v>
      </c>
      <c r="B1792" s="32">
        <v>42232.0</v>
      </c>
      <c r="C1792" s="31" t="s">
        <v>1978</v>
      </c>
      <c r="D1792" s="31" t="s">
        <v>38</v>
      </c>
      <c r="E1792" s="31" t="s">
        <v>45</v>
      </c>
      <c r="F1792" s="33">
        <v>519.792</v>
      </c>
      <c r="G1792" s="33">
        <v>4.0</v>
      </c>
      <c r="H1792" s="33">
        <v>-112.6216</v>
      </c>
    </row>
    <row r="1793">
      <c r="A1793" s="31" t="s">
        <v>2371</v>
      </c>
      <c r="B1793" s="32">
        <v>42243.0</v>
      </c>
      <c r="C1793" s="31" t="s">
        <v>2155</v>
      </c>
      <c r="D1793" s="31" t="s">
        <v>47</v>
      </c>
      <c r="E1793" s="31" t="s">
        <v>28</v>
      </c>
      <c r="F1793" s="33">
        <v>5.104</v>
      </c>
      <c r="G1793" s="33">
        <v>1.0</v>
      </c>
      <c r="H1793" s="33">
        <v>1.6588</v>
      </c>
    </row>
    <row r="1794">
      <c r="A1794" s="31" t="s">
        <v>2372</v>
      </c>
      <c r="B1794" s="32">
        <v>42328.0</v>
      </c>
      <c r="C1794" s="31" t="s">
        <v>1888</v>
      </c>
      <c r="D1794" s="31" t="s">
        <v>11</v>
      </c>
      <c r="E1794" s="31" t="s">
        <v>28</v>
      </c>
      <c r="F1794" s="33">
        <v>4.896</v>
      </c>
      <c r="G1794" s="33">
        <v>3.0</v>
      </c>
      <c r="H1794" s="33">
        <v>-3.4272</v>
      </c>
    </row>
    <row r="1795">
      <c r="A1795" s="31" t="s">
        <v>2373</v>
      </c>
      <c r="B1795" s="32">
        <v>42316.0</v>
      </c>
      <c r="C1795" s="31" t="s">
        <v>1226</v>
      </c>
      <c r="D1795" s="31" t="s">
        <v>11</v>
      </c>
      <c r="E1795" s="31" t="s">
        <v>31</v>
      </c>
      <c r="F1795" s="33">
        <v>263.96</v>
      </c>
      <c r="G1795" s="33">
        <v>4.0</v>
      </c>
      <c r="H1795" s="33">
        <v>76.5484</v>
      </c>
    </row>
    <row r="1796">
      <c r="A1796" s="31" t="s">
        <v>2374</v>
      </c>
      <c r="B1796" s="32">
        <v>42350.0</v>
      </c>
      <c r="C1796" s="31" t="s">
        <v>2375</v>
      </c>
      <c r="D1796" s="31" t="s">
        <v>11</v>
      </c>
      <c r="E1796" s="31" t="s">
        <v>28</v>
      </c>
      <c r="F1796" s="33">
        <v>299.94</v>
      </c>
      <c r="G1796" s="33">
        <v>6.0</v>
      </c>
      <c r="H1796" s="33">
        <v>128.9742</v>
      </c>
    </row>
    <row r="1797">
      <c r="A1797" s="31" t="s">
        <v>2376</v>
      </c>
      <c r="B1797" s="32">
        <v>42325.0</v>
      </c>
      <c r="C1797" s="31" t="s">
        <v>2377</v>
      </c>
      <c r="D1797" s="31" t="s">
        <v>11</v>
      </c>
      <c r="E1797" s="31" t="s">
        <v>31</v>
      </c>
      <c r="F1797" s="33">
        <v>541.24</v>
      </c>
      <c r="G1797" s="33">
        <v>4.0</v>
      </c>
      <c r="H1797" s="33">
        <v>5.4124</v>
      </c>
    </row>
    <row r="1798">
      <c r="A1798" s="31" t="s">
        <v>2378</v>
      </c>
      <c r="B1798" s="32">
        <v>42175.0</v>
      </c>
      <c r="C1798" s="31" t="s">
        <v>1472</v>
      </c>
      <c r="D1798" s="31" t="s">
        <v>11</v>
      </c>
      <c r="E1798" s="31" t="s">
        <v>28</v>
      </c>
      <c r="F1798" s="33">
        <v>125.944</v>
      </c>
      <c r="G1798" s="33">
        <v>7.0</v>
      </c>
      <c r="H1798" s="33">
        <v>15.743</v>
      </c>
    </row>
    <row r="1799">
      <c r="A1799" s="31" t="s">
        <v>2379</v>
      </c>
      <c r="B1799" s="32">
        <v>42258.0</v>
      </c>
      <c r="C1799" s="31" t="s">
        <v>2380</v>
      </c>
      <c r="D1799" s="31" t="s">
        <v>38</v>
      </c>
      <c r="E1799" s="31" t="s">
        <v>45</v>
      </c>
      <c r="F1799" s="33">
        <v>210.68</v>
      </c>
      <c r="G1799" s="33">
        <v>2.0</v>
      </c>
      <c r="H1799" s="33">
        <v>50.5632</v>
      </c>
    </row>
    <row r="1800">
      <c r="A1800" s="31" t="s">
        <v>2381</v>
      </c>
      <c r="B1800" s="32">
        <v>42180.0</v>
      </c>
      <c r="C1800" s="31" t="s">
        <v>2056</v>
      </c>
      <c r="D1800" s="31" t="s">
        <v>11</v>
      </c>
      <c r="E1800" s="31" t="s">
        <v>31</v>
      </c>
      <c r="F1800" s="33">
        <v>47.952</v>
      </c>
      <c r="G1800" s="33">
        <v>3.0</v>
      </c>
      <c r="H1800" s="33">
        <v>16.1838</v>
      </c>
    </row>
    <row r="1801">
      <c r="A1801" s="31" t="s">
        <v>2382</v>
      </c>
      <c r="B1801" s="32">
        <v>42267.0</v>
      </c>
      <c r="C1801" s="31" t="s">
        <v>2383</v>
      </c>
      <c r="D1801" s="31" t="s">
        <v>11</v>
      </c>
      <c r="E1801" s="31" t="s">
        <v>45</v>
      </c>
      <c r="F1801" s="33">
        <v>37.68</v>
      </c>
      <c r="G1801" s="33">
        <v>6.0</v>
      </c>
      <c r="H1801" s="33">
        <v>16.956</v>
      </c>
    </row>
    <row r="1802">
      <c r="A1802" s="31" t="s">
        <v>2384</v>
      </c>
      <c r="B1802" s="32">
        <v>42244.0</v>
      </c>
      <c r="C1802" s="31" t="s">
        <v>1164</v>
      </c>
      <c r="D1802" s="31" t="s">
        <v>11</v>
      </c>
      <c r="E1802" s="31" t="s">
        <v>28</v>
      </c>
      <c r="F1802" s="33">
        <v>892.35</v>
      </c>
      <c r="G1802" s="33">
        <v>5.0</v>
      </c>
      <c r="H1802" s="33">
        <v>267.705</v>
      </c>
    </row>
    <row r="1803">
      <c r="A1803" s="31" t="s">
        <v>2385</v>
      </c>
      <c r="B1803" s="32">
        <v>42267.0</v>
      </c>
      <c r="C1803" s="31" t="s">
        <v>2386</v>
      </c>
      <c r="D1803" s="31" t="s">
        <v>38</v>
      </c>
      <c r="E1803" s="31" t="s">
        <v>45</v>
      </c>
      <c r="F1803" s="33">
        <v>61.4</v>
      </c>
      <c r="G1803" s="33">
        <v>5.0</v>
      </c>
      <c r="H1803" s="33">
        <v>28.858</v>
      </c>
    </row>
    <row r="1804">
      <c r="A1804" s="31" t="s">
        <v>2387</v>
      </c>
      <c r="B1804" s="32">
        <v>42297.0</v>
      </c>
      <c r="C1804" s="31" t="s">
        <v>1837</v>
      </c>
      <c r="D1804" s="31" t="s">
        <v>38</v>
      </c>
      <c r="E1804" s="31" t="s">
        <v>28</v>
      </c>
      <c r="F1804" s="33">
        <v>239.97</v>
      </c>
      <c r="G1804" s="33">
        <v>3.0</v>
      </c>
      <c r="H1804" s="33">
        <v>86.3892</v>
      </c>
    </row>
    <row r="1805">
      <c r="A1805" s="31" t="s">
        <v>2388</v>
      </c>
      <c r="B1805" s="32">
        <v>42178.0</v>
      </c>
      <c r="C1805" s="31" t="s">
        <v>2389</v>
      </c>
      <c r="D1805" s="31" t="s">
        <v>38</v>
      </c>
      <c r="E1805" s="31" t="s">
        <v>59</v>
      </c>
      <c r="F1805" s="33">
        <v>27.42</v>
      </c>
      <c r="G1805" s="33">
        <v>3.0</v>
      </c>
      <c r="H1805" s="33">
        <v>9.3228</v>
      </c>
    </row>
    <row r="1806">
      <c r="A1806" s="31" t="s">
        <v>2390</v>
      </c>
      <c r="B1806" s="32">
        <v>42303.0</v>
      </c>
      <c r="C1806" s="31" t="s">
        <v>1942</v>
      </c>
      <c r="D1806" s="31" t="s">
        <v>38</v>
      </c>
      <c r="E1806" s="31" t="s">
        <v>28</v>
      </c>
      <c r="F1806" s="33">
        <v>146.544</v>
      </c>
      <c r="G1806" s="33">
        <v>6.0</v>
      </c>
      <c r="H1806" s="33">
        <v>47.6268</v>
      </c>
    </row>
    <row r="1807">
      <c r="A1807" s="31" t="s">
        <v>2391</v>
      </c>
      <c r="B1807" s="32">
        <v>42195.0</v>
      </c>
      <c r="C1807" s="31" t="s">
        <v>1985</v>
      </c>
      <c r="D1807" s="31" t="s">
        <v>11</v>
      </c>
      <c r="E1807" s="31" t="s">
        <v>28</v>
      </c>
      <c r="F1807" s="33">
        <v>39.92</v>
      </c>
      <c r="G1807" s="33">
        <v>2.0</v>
      </c>
      <c r="H1807" s="33">
        <v>12.974</v>
      </c>
    </row>
    <row r="1808">
      <c r="A1808" s="31" t="s">
        <v>2392</v>
      </c>
      <c r="B1808" s="32">
        <v>42223.0</v>
      </c>
      <c r="C1808" s="31" t="s">
        <v>1837</v>
      </c>
      <c r="D1808" s="31" t="s">
        <v>38</v>
      </c>
      <c r="E1808" s="31" t="s">
        <v>45</v>
      </c>
      <c r="F1808" s="33">
        <v>77.58</v>
      </c>
      <c r="G1808" s="33">
        <v>9.0</v>
      </c>
      <c r="H1808" s="33">
        <v>20.1708</v>
      </c>
    </row>
    <row r="1809">
      <c r="A1809" s="31" t="s">
        <v>2393</v>
      </c>
      <c r="B1809" s="32">
        <v>42348.0</v>
      </c>
      <c r="C1809" s="31" t="s">
        <v>1234</v>
      </c>
      <c r="D1809" s="31" t="s">
        <v>11</v>
      </c>
      <c r="E1809" s="31" t="s">
        <v>28</v>
      </c>
      <c r="F1809" s="33">
        <v>5.76</v>
      </c>
      <c r="G1809" s="33">
        <v>2.0</v>
      </c>
      <c r="H1809" s="33">
        <v>2.8224</v>
      </c>
    </row>
    <row r="1810">
      <c r="A1810" s="31" t="s">
        <v>2394</v>
      </c>
      <c r="B1810" s="32">
        <v>42146.0</v>
      </c>
      <c r="C1810" s="31" t="s">
        <v>2012</v>
      </c>
      <c r="D1810" s="31" t="s">
        <v>11</v>
      </c>
      <c r="E1810" s="31" t="s">
        <v>28</v>
      </c>
      <c r="F1810" s="33">
        <v>8.26</v>
      </c>
      <c r="G1810" s="33">
        <v>2.0</v>
      </c>
      <c r="H1810" s="33">
        <v>3.7996</v>
      </c>
    </row>
    <row r="1811">
      <c r="A1811" s="31" t="s">
        <v>2395</v>
      </c>
      <c r="B1811" s="32">
        <v>42041.0</v>
      </c>
      <c r="C1811" s="31" t="s">
        <v>2085</v>
      </c>
      <c r="D1811" s="31" t="s">
        <v>11</v>
      </c>
      <c r="E1811" s="31" t="s">
        <v>31</v>
      </c>
      <c r="F1811" s="33">
        <v>2.934</v>
      </c>
      <c r="G1811" s="33">
        <v>3.0</v>
      </c>
      <c r="H1811" s="33">
        <v>-4.9878</v>
      </c>
    </row>
    <row r="1812">
      <c r="A1812" s="31" t="s">
        <v>2396</v>
      </c>
      <c r="B1812" s="32">
        <v>42285.0</v>
      </c>
      <c r="C1812" s="31" t="s">
        <v>2397</v>
      </c>
      <c r="D1812" s="31" t="s">
        <v>38</v>
      </c>
      <c r="E1812" s="31" t="s">
        <v>31</v>
      </c>
      <c r="F1812" s="33">
        <v>72.78</v>
      </c>
      <c r="G1812" s="33">
        <v>3.0</v>
      </c>
      <c r="H1812" s="33">
        <v>-70.9605</v>
      </c>
    </row>
    <row r="1813">
      <c r="A1813" s="31" t="s">
        <v>2398</v>
      </c>
      <c r="B1813" s="32">
        <v>42051.0</v>
      </c>
      <c r="C1813" s="31" t="s">
        <v>1226</v>
      </c>
      <c r="D1813" s="31" t="s">
        <v>11</v>
      </c>
      <c r="E1813" s="31" t="s">
        <v>28</v>
      </c>
      <c r="F1813" s="33">
        <v>36.84</v>
      </c>
      <c r="G1813" s="33">
        <v>3.0</v>
      </c>
      <c r="H1813" s="33">
        <v>17.3148</v>
      </c>
    </row>
    <row r="1814">
      <c r="A1814" s="31" t="s">
        <v>2399</v>
      </c>
      <c r="B1814" s="32">
        <v>42275.0</v>
      </c>
      <c r="C1814" s="31" t="s">
        <v>1246</v>
      </c>
      <c r="D1814" s="31" t="s">
        <v>11</v>
      </c>
      <c r="E1814" s="31" t="s">
        <v>45</v>
      </c>
      <c r="F1814" s="33">
        <v>293.52</v>
      </c>
      <c r="G1814" s="33">
        <v>6.0</v>
      </c>
      <c r="H1814" s="33">
        <v>76.3152</v>
      </c>
    </row>
    <row r="1815">
      <c r="A1815" s="31" t="s">
        <v>2400</v>
      </c>
      <c r="B1815" s="32">
        <v>42310.0</v>
      </c>
      <c r="C1815" s="31" t="s">
        <v>1184</v>
      </c>
      <c r="D1815" s="31" t="s">
        <v>11</v>
      </c>
      <c r="E1815" s="31" t="s">
        <v>28</v>
      </c>
      <c r="F1815" s="33">
        <v>96.96</v>
      </c>
      <c r="G1815" s="33">
        <v>6.0</v>
      </c>
      <c r="H1815" s="33">
        <v>33.936</v>
      </c>
    </row>
    <row r="1816">
      <c r="A1816" s="31" t="s">
        <v>2401</v>
      </c>
      <c r="B1816" s="32">
        <v>42218.0</v>
      </c>
      <c r="C1816" s="31" t="s">
        <v>1147</v>
      </c>
      <c r="D1816" s="31" t="s">
        <v>11</v>
      </c>
      <c r="E1816" s="31" t="s">
        <v>28</v>
      </c>
      <c r="F1816" s="33">
        <v>277.5</v>
      </c>
      <c r="G1816" s="33">
        <v>4.0</v>
      </c>
      <c r="H1816" s="33">
        <v>-188.7</v>
      </c>
    </row>
    <row r="1817">
      <c r="A1817" s="31" t="s">
        <v>2402</v>
      </c>
      <c r="B1817" s="32">
        <v>42329.0</v>
      </c>
      <c r="C1817" s="31" t="s">
        <v>2403</v>
      </c>
      <c r="D1817" s="31" t="s">
        <v>11</v>
      </c>
      <c r="E1817" s="31" t="s">
        <v>45</v>
      </c>
      <c r="F1817" s="33">
        <v>1252.704</v>
      </c>
      <c r="G1817" s="33">
        <v>8.0</v>
      </c>
      <c r="H1817" s="33">
        <v>-480.2032</v>
      </c>
    </row>
    <row r="1818">
      <c r="A1818" s="31" t="s">
        <v>2404</v>
      </c>
      <c r="B1818" s="32">
        <v>42260.0</v>
      </c>
      <c r="C1818" s="31" t="s">
        <v>1370</v>
      </c>
      <c r="D1818" s="31" t="s">
        <v>11</v>
      </c>
      <c r="E1818" s="31" t="s">
        <v>31</v>
      </c>
      <c r="F1818" s="33">
        <v>7.824</v>
      </c>
      <c r="G1818" s="33">
        <v>1.0</v>
      </c>
      <c r="H1818" s="33">
        <v>2.934</v>
      </c>
    </row>
    <row r="1819">
      <c r="A1819" s="31" t="s">
        <v>2405</v>
      </c>
      <c r="B1819" s="32">
        <v>42279.0</v>
      </c>
      <c r="C1819" s="31" t="s">
        <v>1846</v>
      </c>
      <c r="D1819" s="31" t="s">
        <v>11</v>
      </c>
      <c r="E1819" s="31" t="s">
        <v>45</v>
      </c>
      <c r="F1819" s="33">
        <v>19.44</v>
      </c>
      <c r="G1819" s="33">
        <v>3.0</v>
      </c>
      <c r="H1819" s="33">
        <v>9.3312</v>
      </c>
    </row>
    <row r="1820">
      <c r="A1820" s="31" t="s">
        <v>2406</v>
      </c>
      <c r="B1820" s="32">
        <v>42338.0</v>
      </c>
      <c r="C1820" s="31" t="s">
        <v>2407</v>
      </c>
      <c r="D1820" s="31" t="s">
        <v>11</v>
      </c>
      <c r="E1820" s="31" t="s">
        <v>59</v>
      </c>
      <c r="F1820" s="33">
        <v>6.048</v>
      </c>
      <c r="G1820" s="33">
        <v>7.0</v>
      </c>
      <c r="H1820" s="33">
        <v>-4.2336</v>
      </c>
    </row>
    <row r="1821">
      <c r="A1821" s="31" t="s">
        <v>2408</v>
      </c>
      <c r="B1821" s="32">
        <v>42344.0</v>
      </c>
      <c r="C1821" s="31" t="s">
        <v>1188</v>
      </c>
      <c r="D1821" s="31" t="s">
        <v>38</v>
      </c>
      <c r="E1821" s="31" t="s">
        <v>28</v>
      </c>
      <c r="F1821" s="33">
        <v>8.96</v>
      </c>
      <c r="G1821" s="33">
        <v>2.0</v>
      </c>
      <c r="H1821" s="33">
        <v>4.3904</v>
      </c>
    </row>
    <row r="1822">
      <c r="A1822" s="31" t="s">
        <v>2409</v>
      </c>
      <c r="B1822" s="32">
        <v>42316.0</v>
      </c>
      <c r="C1822" s="31" t="s">
        <v>1686</v>
      </c>
      <c r="D1822" s="31" t="s">
        <v>38</v>
      </c>
      <c r="E1822" s="31" t="s">
        <v>45</v>
      </c>
      <c r="F1822" s="33">
        <v>67.15</v>
      </c>
      <c r="G1822" s="33">
        <v>5.0</v>
      </c>
      <c r="H1822" s="33">
        <v>16.7875</v>
      </c>
    </row>
    <row r="1823">
      <c r="A1823" s="31" t="s">
        <v>2410</v>
      </c>
      <c r="B1823" s="32">
        <v>42120.0</v>
      </c>
      <c r="C1823" s="31" t="s">
        <v>1186</v>
      </c>
      <c r="D1823" s="31" t="s">
        <v>11</v>
      </c>
      <c r="E1823" s="31" t="s">
        <v>59</v>
      </c>
      <c r="F1823" s="33">
        <v>191.5155</v>
      </c>
      <c r="G1823" s="33">
        <v>1.0</v>
      </c>
      <c r="H1823" s="33">
        <v>-76.6062</v>
      </c>
    </row>
    <row r="1824">
      <c r="A1824" s="31" t="s">
        <v>2411</v>
      </c>
      <c r="B1824" s="32">
        <v>42267.0</v>
      </c>
      <c r="C1824" s="31" t="s">
        <v>2092</v>
      </c>
      <c r="D1824" s="31" t="s">
        <v>11</v>
      </c>
      <c r="E1824" s="31" t="s">
        <v>59</v>
      </c>
      <c r="F1824" s="33">
        <v>1369.764</v>
      </c>
      <c r="G1824" s="33">
        <v>6.0</v>
      </c>
      <c r="H1824" s="33">
        <v>-913.176</v>
      </c>
    </row>
    <row r="1825">
      <c r="A1825" s="31" t="s">
        <v>2412</v>
      </c>
      <c r="B1825" s="32">
        <v>42272.0</v>
      </c>
      <c r="C1825" s="31" t="s">
        <v>2413</v>
      </c>
      <c r="D1825" s="31" t="s">
        <v>38</v>
      </c>
      <c r="E1825" s="31" t="s">
        <v>59</v>
      </c>
      <c r="F1825" s="33">
        <v>6.336</v>
      </c>
      <c r="G1825" s="33">
        <v>4.0</v>
      </c>
      <c r="H1825" s="33">
        <v>-4.6464</v>
      </c>
    </row>
    <row r="1826">
      <c r="A1826" s="31" t="s">
        <v>2414</v>
      </c>
      <c r="B1826" s="32">
        <v>42134.0</v>
      </c>
      <c r="C1826" s="31" t="s">
        <v>1347</v>
      </c>
      <c r="D1826" s="31" t="s">
        <v>47</v>
      </c>
      <c r="E1826" s="31" t="s">
        <v>31</v>
      </c>
      <c r="F1826" s="33">
        <v>70.97</v>
      </c>
      <c r="G1826" s="33">
        <v>5.0</v>
      </c>
      <c r="H1826" s="33">
        <v>-191.619</v>
      </c>
    </row>
    <row r="1827">
      <c r="A1827" s="31" t="s">
        <v>2415</v>
      </c>
      <c r="B1827" s="32">
        <v>42068.0</v>
      </c>
      <c r="C1827" s="31" t="s">
        <v>1438</v>
      </c>
      <c r="D1827" s="31" t="s">
        <v>11</v>
      </c>
      <c r="E1827" s="31" t="s">
        <v>31</v>
      </c>
      <c r="F1827" s="33">
        <v>11.212</v>
      </c>
      <c r="G1827" s="33">
        <v>2.0</v>
      </c>
      <c r="H1827" s="33">
        <v>-16.818</v>
      </c>
    </row>
    <row r="1828">
      <c r="A1828" s="31" t="s">
        <v>2416</v>
      </c>
      <c r="B1828" s="32">
        <v>42260.0</v>
      </c>
      <c r="C1828" s="31" t="s">
        <v>1510</v>
      </c>
      <c r="D1828" s="31" t="s">
        <v>11</v>
      </c>
      <c r="E1828" s="31" t="s">
        <v>59</v>
      </c>
      <c r="F1828" s="33">
        <v>13.092</v>
      </c>
      <c r="G1828" s="33">
        <v>4.0</v>
      </c>
      <c r="H1828" s="33">
        <v>-10.0372</v>
      </c>
    </row>
    <row r="1829">
      <c r="A1829" s="31" t="s">
        <v>2417</v>
      </c>
      <c r="B1829" s="32">
        <v>42168.0</v>
      </c>
      <c r="C1829" s="31" t="s">
        <v>2140</v>
      </c>
      <c r="D1829" s="31" t="s">
        <v>47</v>
      </c>
      <c r="E1829" s="31" t="s">
        <v>45</v>
      </c>
      <c r="F1829" s="33">
        <v>3.424</v>
      </c>
      <c r="G1829" s="33">
        <v>1.0</v>
      </c>
      <c r="H1829" s="33">
        <v>0.2996</v>
      </c>
    </row>
    <row r="1830">
      <c r="A1830" s="31" t="s">
        <v>2418</v>
      </c>
      <c r="B1830" s="32">
        <v>42181.0</v>
      </c>
      <c r="C1830" s="31" t="s">
        <v>2419</v>
      </c>
      <c r="D1830" s="31" t="s">
        <v>47</v>
      </c>
      <c r="E1830" s="31" t="s">
        <v>45</v>
      </c>
      <c r="F1830" s="33">
        <v>43.056</v>
      </c>
      <c r="G1830" s="33">
        <v>9.0</v>
      </c>
      <c r="H1830" s="33">
        <v>15.6078</v>
      </c>
    </row>
    <row r="1831">
      <c r="A1831" s="31" t="s">
        <v>2420</v>
      </c>
      <c r="B1831" s="32">
        <v>42359.0</v>
      </c>
      <c r="C1831" s="31" t="s">
        <v>2421</v>
      </c>
      <c r="D1831" s="31" t="s">
        <v>47</v>
      </c>
      <c r="E1831" s="31" t="s">
        <v>31</v>
      </c>
      <c r="F1831" s="33">
        <v>600.53</v>
      </c>
      <c r="G1831" s="33">
        <v>2.0</v>
      </c>
      <c r="H1831" s="33">
        <v>137.264</v>
      </c>
    </row>
    <row r="1832">
      <c r="A1832" s="31" t="s">
        <v>2422</v>
      </c>
      <c r="B1832" s="32">
        <v>42349.0</v>
      </c>
      <c r="C1832" s="31" t="s">
        <v>1722</v>
      </c>
      <c r="D1832" s="31" t="s">
        <v>11</v>
      </c>
      <c r="E1832" s="31" t="s">
        <v>45</v>
      </c>
      <c r="F1832" s="33">
        <v>10.332</v>
      </c>
      <c r="G1832" s="33">
        <v>3.0</v>
      </c>
      <c r="H1832" s="33">
        <v>-7.5768</v>
      </c>
    </row>
    <row r="1833">
      <c r="A1833" s="31" t="s">
        <v>2423</v>
      </c>
      <c r="B1833" s="32">
        <v>42190.0</v>
      </c>
      <c r="C1833" s="31" t="s">
        <v>2424</v>
      </c>
      <c r="D1833" s="31" t="s">
        <v>38</v>
      </c>
      <c r="E1833" s="31" t="s">
        <v>59</v>
      </c>
      <c r="F1833" s="33">
        <v>4.928</v>
      </c>
      <c r="G1833" s="33">
        <v>2.0</v>
      </c>
      <c r="H1833" s="33">
        <v>0.7392</v>
      </c>
    </row>
    <row r="1834">
      <c r="A1834" s="31" t="s">
        <v>2425</v>
      </c>
      <c r="B1834" s="32">
        <v>42114.0</v>
      </c>
      <c r="C1834" s="31" t="s">
        <v>2426</v>
      </c>
      <c r="D1834" s="31" t="s">
        <v>11</v>
      </c>
      <c r="E1834" s="31" t="s">
        <v>31</v>
      </c>
      <c r="F1834" s="33">
        <v>180.96</v>
      </c>
      <c r="G1834" s="33">
        <v>2.0</v>
      </c>
      <c r="H1834" s="33">
        <v>81.432</v>
      </c>
    </row>
    <row r="1835">
      <c r="A1835" s="31" t="s">
        <v>2427</v>
      </c>
      <c r="B1835" s="32">
        <v>42343.0</v>
      </c>
      <c r="C1835" s="31" t="s">
        <v>1443</v>
      </c>
      <c r="D1835" s="31" t="s">
        <v>11</v>
      </c>
      <c r="E1835" s="31" t="s">
        <v>31</v>
      </c>
      <c r="F1835" s="33">
        <v>45.04</v>
      </c>
      <c r="G1835" s="33">
        <v>2.0</v>
      </c>
      <c r="H1835" s="33">
        <v>4.504</v>
      </c>
    </row>
    <row r="1836">
      <c r="A1836" s="31" t="s">
        <v>2428</v>
      </c>
      <c r="B1836" s="32">
        <v>42124.0</v>
      </c>
      <c r="C1836" s="31" t="s">
        <v>2429</v>
      </c>
      <c r="D1836" s="31" t="s">
        <v>38</v>
      </c>
      <c r="E1836" s="31" t="s">
        <v>45</v>
      </c>
      <c r="F1836" s="33">
        <v>31.4</v>
      </c>
      <c r="G1836" s="33">
        <v>5.0</v>
      </c>
      <c r="H1836" s="33">
        <v>13.188</v>
      </c>
    </row>
    <row r="1837">
      <c r="A1837" s="31" t="s">
        <v>2430</v>
      </c>
      <c r="B1837" s="32">
        <v>42009.0</v>
      </c>
      <c r="C1837" s="31" t="s">
        <v>2431</v>
      </c>
      <c r="D1837" s="31" t="s">
        <v>47</v>
      </c>
      <c r="E1837" s="31" t="s">
        <v>28</v>
      </c>
      <c r="F1837" s="33">
        <v>87.36</v>
      </c>
      <c r="G1837" s="33">
        <v>6.0</v>
      </c>
      <c r="H1837" s="33">
        <v>23.5872</v>
      </c>
    </row>
    <row r="1838">
      <c r="A1838" s="31" t="s">
        <v>2432</v>
      </c>
      <c r="B1838" s="32">
        <v>42320.0</v>
      </c>
      <c r="C1838" s="31" t="s">
        <v>1890</v>
      </c>
      <c r="D1838" s="31" t="s">
        <v>38</v>
      </c>
      <c r="E1838" s="31" t="s">
        <v>31</v>
      </c>
      <c r="F1838" s="33">
        <v>64.784</v>
      </c>
      <c r="G1838" s="33">
        <v>1.0</v>
      </c>
      <c r="H1838" s="33">
        <v>-14.5764</v>
      </c>
    </row>
    <row r="1839">
      <c r="A1839" s="31" t="s">
        <v>2433</v>
      </c>
      <c r="B1839" s="32">
        <v>42152.0</v>
      </c>
      <c r="C1839" s="31" t="s">
        <v>1453</v>
      </c>
      <c r="D1839" s="31" t="s">
        <v>11</v>
      </c>
      <c r="E1839" s="31" t="s">
        <v>45</v>
      </c>
      <c r="F1839" s="33">
        <v>16.24</v>
      </c>
      <c r="G1839" s="33">
        <v>1.0</v>
      </c>
      <c r="H1839" s="33">
        <v>2.436</v>
      </c>
    </row>
    <row r="1840">
      <c r="A1840" s="31" t="s">
        <v>2434</v>
      </c>
      <c r="B1840" s="32">
        <v>42107.0</v>
      </c>
      <c r="C1840" s="31" t="s">
        <v>2435</v>
      </c>
      <c r="D1840" s="31" t="s">
        <v>11</v>
      </c>
      <c r="E1840" s="31" t="s">
        <v>28</v>
      </c>
      <c r="F1840" s="33">
        <v>10.744</v>
      </c>
      <c r="G1840" s="33">
        <v>1.0</v>
      </c>
      <c r="H1840" s="33">
        <v>0.8058</v>
      </c>
    </row>
    <row r="1841">
      <c r="A1841" s="31" t="s">
        <v>2436</v>
      </c>
      <c r="B1841" s="32">
        <v>42343.0</v>
      </c>
      <c r="C1841" s="31" t="s">
        <v>2437</v>
      </c>
      <c r="D1841" s="31" t="s">
        <v>11</v>
      </c>
      <c r="E1841" s="31" t="s">
        <v>45</v>
      </c>
      <c r="F1841" s="33">
        <v>232.4</v>
      </c>
      <c r="G1841" s="33">
        <v>5.0</v>
      </c>
      <c r="H1841" s="33">
        <v>78.435</v>
      </c>
    </row>
    <row r="1842">
      <c r="A1842" s="31" t="s">
        <v>2438</v>
      </c>
      <c r="B1842" s="32">
        <v>42349.0</v>
      </c>
      <c r="C1842" s="31" t="s">
        <v>1085</v>
      </c>
      <c r="D1842" s="31" t="s">
        <v>47</v>
      </c>
      <c r="E1842" s="31" t="s">
        <v>28</v>
      </c>
      <c r="F1842" s="33">
        <v>110.528</v>
      </c>
      <c r="G1842" s="33">
        <v>4.0</v>
      </c>
      <c r="H1842" s="33">
        <v>38.6848</v>
      </c>
    </row>
    <row r="1843">
      <c r="A1843" s="31" t="s">
        <v>2439</v>
      </c>
      <c r="B1843" s="32">
        <v>42279.0</v>
      </c>
      <c r="C1843" s="31" t="s">
        <v>2440</v>
      </c>
      <c r="D1843" s="31" t="s">
        <v>11</v>
      </c>
      <c r="E1843" s="31" t="s">
        <v>28</v>
      </c>
      <c r="F1843" s="33">
        <v>10.944</v>
      </c>
      <c r="G1843" s="33">
        <v>2.0</v>
      </c>
      <c r="H1843" s="33">
        <v>0.9576</v>
      </c>
    </row>
    <row r="1844">
      <c r="A1844" s="31" t="s">
        <v>2441</v>
      </c>
      <c r="B1844" s="32">
        <v>42267.0</v>
      </c>
      <c r="C1844" s="31" t="s">
        <v>1510</v>
      </c>
      <c r="D1844" s="31" t="s">
        <v>11</v>
      </c>
      <c r="E1844" s="31" t="s">
        <v>28</v>
      </c>
      <c r="F1844" s="33">
        <v>45.584</v>
      </c>
      <c r="G1844" s="33">
        <v>11.0</v>
      </c>
      <c r="H1844" s="33">
        <v>16.5242</v>
      </c>
    </row>
    <row r="1845">
      <c r="A1845" s="31" t="s">
        <v>2442</v>
      </c>
      <c r="B1845" s="32">
        <v>42348.0</v>
      </c>
      <c r="C1845" s="31" t="s">
        <v>1230</v>
      </c>
      <c r="D1845" s="31" t="s">
        <v>11</v>
      </c>
      <c r="E1845" s="31" t="s">
        <v>45</v>
      </c>
      <c r="F1845" s="33">
        <v>25.488</v>
      </c>
      <c r="G1845" s="33">
        <v>2.0</v>
      </c>
      <c r="H1845" s="33">
        <v>4.4604</v>
      </c>
    </row>
    <row r="1846">
      <c r="A1846" s="31" t="s">
        <v>2443</v>
      </c>
      <c r="B1846" s="32">
        <v>42250.0</v>
      </c>
      <c r="C1846" s="31" t="s">
        <v>2121</v>
      </c>
      <c r="D1846" s="31" t="s">
        <v>11</v>
      </c>
      <c r="E1846" s="31" t="s">
        <v>31</v>
      </c>
      <c r="F1846" s="33">
        <v>7.5</v>
      </c>
      <c r="G1846" s="33">
        <v>2.0</v>
      </c>
      <c r="H1846" s="33">
        <v>3.6</v>
      </c>
    </row>
    <row r="1847">
      <c r="A1847" s="31" t="s">
        <v>2444</v>
      </c>
      <c r="B1847" s="32">
        <v>42134.0</v>
      </c>
      <c r="C1847" s="31" t="s">
        <v>1166</v>
      </c>
      <c r="D1847" s="31" t="s">
        <v>11</v>
      </c>
      <c r="E1847" s="31" t="s">
        <v>28</v>
      </c>
      <c r="F1847" s="33">
        <v>46.688</v>
      </c>
      <c r="G1847" s="33">
        <v>4.0</v>
      </c>
      <c r="H1847" s="33">
        <v>-2.918</v>
      </c>
    </row>
    <row r="1848">
      <c r="A1848" s="31" t="s">
        <v>2445</v>
      </c>
      <c r="B1848" s="32">
        <v>42103.0</v>
      </c>
      <c r="C1848" s="31" t="s">
        <v>1980</v>
      </c>
      <c r="D1848" s="31" t="s">
        <v>11</v>
      </c>
      <c r="E1848" s="31" t="s">
        <v>45</v>
      </c>
      <c r="F1848" s="33">
        <v>17.94</v>
      </c>
      <c r="G1848" s="33">
        <v>3.0</v>
      </c>
      <c r="H1848" s="33">
        <v>3.0498</v>
      </c>
    </row>
    <row r="1849">
      <c r="A1849" s="31" t="s">
        <v>2446</v>
      </c>
      <c r="B1849" s="32">
        <v>42103.0</v>
      </c>
      <c r="C1849" s="31" t="s">
        <v>2447</v>
      </c>
      <c r="D1849" s="31" t="s">
        <v>11</v>
      </c>
      <c r="E1849" s="31" t="s">
        <v>45</v>
      </c>
      <c r="F1849" s="33">
        <v>370.14</v>
      </c>
      <c r="G1849" s="33">
        <v>3.0</v>
      </c>
      <c r="H1849" s="33">
        <v>144.3546</v>
      </c>
    </row>
    <row r="1850">
      <c r="A1850" s="31" t="s">
        <v>2448</v>
      </c>
      <c r="B1850" s="32">
        <v>42299.0</v>
      </c>
      <c r="C1850" s="31" t="s">
        <v>1946</v>
      </c>
      <c r="D1850" s="31" t="s">
        <v>11</v>
      </c>
      <c r="E1850" s="31" t="s">
        <v>59</v>
      </c>
      <c r="F1850" s="33">
        <v>9.952</v>
      </c>
      <c r="G1850" s="33">
        <v>1.0</v>
      </c>
      <c r="H1850" s="33">
        <v>0.9952</v>
      </c>
    </row>
    <row r="1851">
      <c r="A1851" s="31" t="s">
        <v>2449</v>
      </c>
      <c r="B1851" s="32">
        <v>42307.0</v>
      </c>
      <c r="C1851" s="31" t="s">
        <v>2450</v>
      </c>
      <c r="D1851" s="31" t="s">
        <v>38</v>
      </c>
      <c r="E1851" s="31" t="s">
        <v>45</v>
      </c>
      <c r="F1851" s="33">
        <v>1035.8</v>
      </c>
      <c r="G1851" s="33">
        <v>4.0</v>
      </c>
      <c r="H1851" s="33">
        <v>269.308</v>
      </c>
    </row>
    <row r="1852">
      <c r="A1852" s="31" t="s">
        <v>2451</v>
      </c>
      <c r="B1852" s="32">
        <v>42300.0</v>
      </c>
      <c r="C1852" s="31" t="s">
        <v>1715</v>
      </c>
      <c r="D1852" s="31" t="s">
        <v>11</v>
      </c>
      <c r="E1852" s="31" t="s">
        <v>31</v>
      </c>
      <c r="F1852" s="33">
        <v>60.736</v>
      </c>
      <c r="G1852" s="33">
        <v>8.0</v>
      </c>
      <c r="H1852" s="33">
        <v>20.4984</v>
      </c>
    </row>
    <row r="1853">
      <c r="A1853" s="31" t="s">
        <v>2452</v>
      </c>
      <c r="B1853" s="32">
        <v>42064.0</v>
      </c>
      <c r="C1853" s="31" t="s">
        <v>1699</v>
      </c>
      <c r="D1853" s="31" t="s">
        <v>38</v>
      </c>
      <c r="E1853" s="31" t="s">
        <v>28</v>
      </c>
      <c r="F1853" s="33">
        <v>15.984</v>
      </c>
      <c r="G1853" s="33">
        <v>2.0</v>
      </c>
      <c r="H1853" s="33">
        <v>1.1988</v>
      </c>
    </row>
    <row r="1854">
      <c r="A1854" s="31" t="s">
        <v>2453</v>
      </c>
      <c r="B1854" s="32">
        <v>42349.0</v>
      </c>
      <c r="C1854" s="31" t="s">
        <v>1214</v>
      </c>
      <c r="D1854" s="31" t="s">
        <v>11</v>
      </c>
      <c r="E1854" s="31" t="s">
        <v>31</v>
      </c>
      <c r="F1854" s="33">
        <v>175.23</v>
      </c>
      <c r="G1854" s="33">
        <v>11.0</v>
      </c>
      <c r="H1854" s="33">
        <v>61.3305</v>
      </c>
    </row>
    <row r="1855">
      <c r="A1855" s="31" t="s">
        <v>2454</v>
      </c>
      <c r="B1855" s="32">
        <v>42237.0</v>
      </c>
      <c r="C1855" s="31" t="s">
        <v>1474</v>
      </c>
      <c r="D1855" s="31" t="s">
        <v>38</v>
      </c>
      <c r="E1855" s="31" t="s">
        <v>59</v>
      </c>
      <c r="F1855" s="33">
        <v>17.52</v>
      </c>
      <c r="G1855" s="33">
        <v>3.0</v>
      </c>
      <c r="H1855" s="33">
        <v>8.2344</v>
      </c>
    </row>
    <row r="1856">
      <c r="A1856" s="31" t="s">
        <v>2455</v>
      </c>
      <c r="B1856" s="32">
        <v>42017.0</v>
      </c>
      <c r="C1856" s="31" t="s">
        <v>1902</v>
      </c>
      <c r="D1856" s="31" t="s">
        <v>38</v>
      </c>
      <c r="E1856" s="31" t="s">
        <v>59</v>
      </c>
      <c r="F1856" s="33">
        <v>9.82</v>
      </c>
      <c r="G1856" s="33">
        <v>2.0</v>
      </c>
      <c r="H1856" s="33">
        <v>4.8118</v>
      </c>
    </row>
    <row r="1857">
      <c r="A1857" s="31" t="s">
        <v>2456</v>
      </c>
      <c r="B1857" s="32">
        <v>42162.0</v>
      </c>
      <c r="C1857" s="31" t="s">
        <v>2457</v>
      </c>
      <c r="D1857" s="31" t="s">
        <v>47</v>
      </c>
      <c r="E1857" s="31" t="s">
        <v>45</v>
      </c>
      <c r="F1857" s="33">
        <v>18.312</v>
      </c>
      <c r="G1857" s="33">
        <v>4.0</v>
      </c>
      <c r="H1857" s="33">
        <v>-12.208</v>
      </c>
    </row>
    <row r="1858">
      <c r="A1858" s="31" t="s">
        <v>2458</v>
      </c>
      <c r="B1858" s="32">
        <v>42360.0</v>
      </c>
      <c r="C1858" s="31" t="s">
        <v>1540</v>
      </c>
      <c r="D1858" s="31" t="s">
        <v>38</v>
      </c>
      <c r="E1858" s="31" t="s">
        <v>45</v>
      </c>
      <c r="F1858" s="33">
        <v>33.568</v>
      </c>
      <c r="G1858" s="33">
        <v>2.0</v>
      </c>
      <c r="H1858" s="33">
        <v>1.6784</v>
      </c>
    </row>
    <row r="1859">
      <c r="A1859" s="31" t="s">
        <v>2459</v>
      </c>
      <c r="B1859" s="32">
        <v>42343.0</v>
      </c>
      <c r="C1859" s="31" t="s">
        <v>1398</v>
      </c>
      <c r="D1859" s="31" t="s">
        <v>38</v>
      </c>
      <c r="E1859" s="31" t="s">
        <v>28</v>
      </c>
      <c r="F1859" s="33">
        <v>39.0</v>
      </c>
      <c r="G1859" s="33">
        <v>3.0</v>
      </c>
      <c r="H1859" s="33">
        <v>17.55</v>
      </c>
    </row>
    <row r="1860">
      <c r="A1860" s="31" t="s">
        <v>2460</v>
      </c>
      <c r="B1860" s="32">
        <v>42258.0</v>
      </c>
      <c r="C1860" s="31" t="s">
        <v>1398</v>
      </c>
      <c r="D1860" s="31" t="s">
        <v>38</v>
      </c>
      <c r="E1860" s="31" t="s">
        <v>28</v>
      </c>
      <c r="F1860" s="33">
        <v>24.64</v>
      </c>
      <c r="G1860" s="33">
        <v>4.0</v>
      </c>
      <c r="H1860" s="33">
        <v>4.004</v>
      </c>
    </row>
    <row r="1861">
      <c r="A1861" s="31" t="s">
        <v>2461</v>
      </c>
      <c r="B1861" s="32">
        <v>42202.0</v>
      </c>
      <c r="C1861" s="31" t="s">
        <v>1334</v>
      </c>
      <c r="D1861" s="31" t="s">
        <v>38</v>
      </c>
      <c r="E1861" s="31" t="s">
        <v>31</v>
      </c>
      <c r="F1861" s="33">
        <v>6.264</v>
      </c>
      <c r="G1861" s="33">
        <v>3.0</v>
      </c>
      <c r="H1861" s="33">
        <v>2.0358</v>
      </c>
    </row>
    <row r="1862">
      <c r="A1862" s="31" t="s">
        <v>2462</v>
      </c>
      <c r="B1862" s="32">
        <v>42085.0</v>
      </c>
      <c r="C1862" s="31" t="s">
        <v>2463</v>
      </c>
      <c r="D1862" s="31" t="s">
        <v>11</v>
      </c>
      <c r="E1862" s="31" t="s">
        <v>59</v>
      </c>
      <c r="F1862" s="33">
        <v>447.944</v>
      </c>
      <c r="G1862" s="33">
        <v>7.0</v>
      </c>
      <c r="H1862" s="33">
        <v>89.5888</v>
      </c>
    </row>
    <row r="1863">
      <c r="A1863" s="31" t="s">
        <v>2464</v>
      </c>
      <c r="B1863" s="32">
        <v>42297.0</v>
      </c>
      <c r="C1863" s="31" t="s">
        <v>1862</v>
      </c>
      <c r="D1863" s="31" t="s">
        <v>11</v>
      </c>
      <c r="E1863" s="31" t="s">
        <v>45</v>
      </c>
      <c r="F1863" s="33">
        <v>24.56</v>
      </c>
      <c r="G1863" s="33">
        <v>2.0</v>
      </c>
      <c r="H1863" s="33">
        <v>11.5432</v>
      </c>
    </row>
    <row r="1864">
      <c r="A1864" s="31" t="s">
        <v>2465</v>
      </c>
      <c r="B1864" s="32">
        <v>42139.0</v>
      </c>
      <c r="C1864" s="31" t="s">
        <v>1957</v>
      </c>
      <c r="D1864" s="31" t="s">
        <v>38</v>
      </c>
      <c r="E1864" s="31" t="s">
        <v>45</v>
      </c>
      <c r="F1864" s="33">
        <v>51.968</v>
      </c>
      <c r="G1864" s="33">
        <v>2.0</v>
      </c>
      <c r="H1864" s="33">
        <v>-10.3936</v>
      </c>
    </row>
    <row r="1865">
      <c r="A1865" s="31" t="s">
        <v>2466</v>
      </c>
      <c r="B1865" s="32">
        <v>42321.0</v>
      </c>
      <c r="C1865" s="31" t="s">
        <v>2342</v>
      </c>
      <c r="D1865" s="31" t="s">
        <v>11</v>
      </c>
      <c r="E1865" s="31" t="s">
        <v>59</v>
      </c>
      <c r="F1865" s="33">
        <v>121.104</v>
      </c>
      <c r="G1865" s="33">
        <v>6.0</v>
      </c>
      <c r="H1865" s="33">
        <v>-100.92</v>
      </c>
    </row>
    <row r="1866">
      <c r="A1866" s="31" t="s">
        <v>2467</v>
      </c>
      <c r="B1866" s="32">
        <v>42346.0</v>
      </c>
      <c r="C1866" s="31" t="s">
        <v>1474</v>
      </c>
      <c r="D1866" s="31" t="s">
        <v>38</v>
      </c>
      <c r="E1866" s="31" t="s">
        <v>28</v>
      </c>
      <c r="F1866" s="33">
        <v>15.696</v>
      </c>
      <c r="G1866" s="33">
        <v>3.0</v>
      </c>
      <c r="H1866" s="33">
        <v>5.1012</v>
      </c>
    </row>
    <row r="1867">
      <c r="A1867" s="31" t="s">
        <v>2468</v>
      </c>
      <c r="B1867" s="32">
        <v>42254.0</v>
      </c>
      <c r="C1867" s="31" t="s">
        <v>2469</v>
      </c>
      <c r="D1867" s="31" t="s">
        <v>38</v>
      </c>
      <c r="E1867" s="31" t="s">
        <v>45</v>
      </c>
      <c r="F1867" s="33">
        <v>70.26</v>
      </c>
      <c r="G1867" s="33">
        <v>3.0</v>
      </c>
      <c r="H1867" s="33">
        <v>18.9702</v>
      </c>
    </row>
    <row r="1868">
      <c r="A1868" s="31" t="s">
        <v>2470</v>
      </c>
      <c r="B1868" s="32">
        <v>42316.0</v>
      </c>
      <c r="C1868" s="31" t="s">
        <v>1837</v>
      </c>
      <c r="D1868" s="31" t="s">
        <v>38</v>
      </c>
      <c r="E1868" s="31" t="s">
        <v>59</v>
      </c>
      <c r="F1868" s="33">
        <v>31.504</v>
      </c>
      <c r="G1868" s="33">
        <v>11.0</v>
      </c>
      <c r="H1868" s="33">
        <v>11.814</v>
      </c>
    </row>
    <row r="1869">
      <c r="A1869" s="31" t="s">
        <v>2471</v>
      </c>
      <c r="B1869" s="32">
        <v>42343.0</v>
      </c>
      <c r="C1869" s="31" t="s">
        <v>2472</v>
      </c>
      <c r="D1869" s="31" t="s">
        <v>38</v>
      </c>
      <c r="E1869" s="31" t="s">
        <v>59</v>
      </c>
      <c r="F1869" s="33">
        <v>97.424</v>
      </c>
      <c r="G1869" s="33">
        <v>2.0</v>
      </c>
      <c r="H1869" s="33">
        <v>10.9602</v>
      </c>
    </row>
    <row r="1870">
      <c r="A1870" s="31" t="s">
        <v>2473</v>
      </c>
      <c r="B1870" s="32">
        <v>42136.0</v>
      </c>
      <c r="C1870" s="31" t="s">
        <v>1351</v>
      </c>
      <c r="D1870" s="31" t="s">
        <v>11</v>
      </c>
      <c r="E1870" s="31" t="s">
        <v>31</v>
      </c>
      <c r="F1870" s="33">
        <v>21.968</v>
      </c>
      <c r="G1870" s="33">
        <v>4.0</v>
      </c>
      <c r="H1870" s="33">
        <v>-15.9268</v>
      </c>
    </row>
    <row r="1871">
      <c r="A1871" s="31" t="s">
        <v>2474</v>
      </c>
      <c r="B1871" s="32">
        <v>42358.0</v>
      </c>
      <c r="C1871" s="31" t="s">
        <v>2475</v>
      </c>
      <c r="D1871" s="31" t="s">
        <v>11</v>
      </c>
      <c r="E1871" s="31" t="s">
        <v>28</v>
      </c>
      <c r="F1871" s="33">
        <v>17.12</v>
      </c>
      <c r="G1871" s="33">
        <v>4.0</v>
      </c>
      <c r="H1871" s="33">
        <v>7.704</v>
      </c>
    </row>
    <row r="1872">
      <c r="A1872" s="31" t="s">
        <v>2476</v>
      </c>
      <c r="B1872" s="32">
        <v>42064.0</v>
      </c>
      <c r="C1872" s="31" t="s">
        <v>2440</v>
      </c>
      <c r="D1872" s="31" t="s">
        <v>11</v>
      </c>
      <c r="E1872" s="31" t="s">
        <v>45</v>
      </c>
      <c r="F1872" s="33">
        <v>3.552</v>
      </c>
      <c r="G1872" s="33">
        <v>2.0</v>
      </c>
      <c r="H1872" s="33">
        <v>0.444</v>
      </c>
    </row>
    <row r="1873">
      <c r="A1873" s="31" t="s">
        <v>2477</v>
      </c>
      <c r="B1873" s="32">
        <v>42341.0</v>
      </c>
      <c r="C1873" s="31" t="s">
        <v>1590</v>
      </c>
      <c r="D1873" s="31" t="s">
        <v>11</v>
      </c>
      <c r="E1873" s="31" t="s">
        <v>28</v>
      </c>
      <c r="F1873" s="33">
        <v>359.499</v>
      </c>
      <c r="G1873" s="33">
        <v>3.0</v>
      </c>
      <c r="H1873" s="33">
        <v>-29.6058</v>
      </c>
    </row>
    <row r="1874">
      <c r="A1874" s="31" t="s">
        <v>2478</v>
      </c>
      <c r="B1874" s="32">
        <v>42365.0</v>
      </c>
      <c r="C1874" s="31" t="s">
        <v>1978</v>
      </c>
      <c r="D1874" s="31" t="s">
        <v>38</v>
      </c>
      <c r="E1874" s="31" t="s">
        <v>59</v>
      </c>
      <c r="F1874" s="33">
        <v>4.728</v>
      </c>
      <c r="G1874" s="33">
        <v>3.0</v>
      </c>
      <c r="H1874" s="33">
        <v>0.7092</v>
      </c>
    </row>
    <row r="1875">
      <c r="A1875" s="31" t="s">
        <v>2479</v>
      </c>
      <c r="B1875" s="32">
        <v>42216.0</v>
      </c>
      <c r="C1875" s="31" t="s">
        <v>1921</v>
      </c>
      <c r="D1875" s="31" t="s">
        <v>38</v>
      </c>
      <c r="E1875" s="31" t="s">
        <v>31</v>
      </c>
      <c r="F1875" s="33">
        <v>52.59</v>
      </c>
      <c r="G1875" s="33">
        <v>3.0</v>
      </c>
      <c r="H1875" s="33">
        <v>15.777</v>
      </c>
    </row>
    <row r="1876">
      <c r="A1876" s="31" t="s">
        <v>2480</v>
      </c>
      <c r="B1876" s="32">
        <v>42317.0</v>
      </c>
      <c r="C1876" s="31" t="s">
        <v>1854</v>
      </c>
      <c r="D1876" s="31" t="s">
        <v>47</v>
      </c>
      <c r="E1876" s="31" t="s">
        <v>31</v>
      </c>
      <c r="F1876" s="33">
        <v>10.74</v>
      </c>
      <c r="G1876" s="33">
        <v>3.0</v>
      </c>
      <c r="H1876" s="33">
        <v>5.1552</v>
      </c>
    </row>
    <row r="1877">
      <c r="A1877" s="31" t="s">
        <v>2481</v>
      </c>
      <c r="B1877" s="32">
        <v>42279.0</v>
      </c>
      <c r="C1877" s="31" t="s">
        <v>1459</v>
      </c>
      <c r="D1877" s="31" t="s">
        <v>11</v>
      </c>
      <c r="E1877" s="31" t="s">
        <v>28</v>
      </c>
      <c r="F1877" s="33">
        <v>11.032</v>
      </c>
      <c r="G1877" s="33">
        <v>1.0</v>
      </c>
      <c r="H1877" s="33">
        <v>3.0338</v>
      </c>
    </row>
    <row r="1878">
      <c r="A1878" s="31" t="s">
        <v>2482</v>
      </c>
      <c r="B1878" s="32">
        <v>42330.0</v>
      </c>
      <c r="C1878" s="31" t="s">
        <v>2457</v>
      </c>
      <c r="D1878" s="31" t="s">
        <v>47</v>
      </c>
      <c r="E1878" s="31" t="s">
        <v>45</v>
      </c>
      <c r="F1878" s="33">
        <v>17.12</v>
      </c>
      <c r="G1878" s="33">
        <v>4.0</v>
      </c>
      <c r="H1878" s="33">
        <v>4.9648</v>
      </c>
    </row>
    <row r="1879">
      <c r="A1879" s="31" t="s">
        <v>2483</v>
      </c>
      <c r="B1879" s="32">
        <v>42171.0</v>
      </c>
      <c r="C1879" s="31" t="s">
        <v>1722</v>
      </c>
      <c r="D1879" s="31" t="s">
        <v>11</v>
      </c>
      <c r="E1879" s="31" t="s">
        <v>45</v>
      </c>
      <c r="F1879" s="33">
        <v>3050.376</v>
      </c>
      <c r="G1879" s="33">
        <v>3.0</v>
      </c>
      <c r="H1879" s="33">
        <v>1143.891</v>
      </c>
    </row>
    <row r="1880">
      <c r="A1880" s="31" t="s">
        <v>2484</v>
      </c>
      <c r="B1880" s="32">
        <v>42329.0</v>
      </c>
      <c r="C1880" s="31" t="s">
        <v>2485</v>
      </c>
      <c r="D1880" s="31" t="s">
        <v>38</v>
      </c>
      <c r="E1880" s="31" t="s">
        <v>31</v>
      </c>
      <c r="F1880" s="33">
        <v>5.344</v>
      </c>
      <c r="G1880" s="33">
        <v>2.0</v>
      </c>
      <c r="H1880" s="33">
        <v>0.7348</v>
      </c>
    </row>
    <row r="1881">
      <c r="A1881" s="31" t="s">
        <v>2486</v>
      </c>
      <c r="B1881" s="32">
        <v>42282.0</v>
      </c>
      <c r="C1881" s="31" t="s">
        <v>1904</v>
      </c>
      <c r="D1881" s="31" t="s">
        <v>11</v>
      </c>
      <c r="E1881" s="31" t="s">
        <v>45</v>
      </c>
      <c r="F1881" s="33">
        <v>288.0</v>
      </c>
      <c r="G1881" s="33">
        <v>4.0</v>
      </c>
      <c r="H1881" s="33">
        <v>57.6</v>
      </c>
    </row>
    <row r="1882">
      <c r="A1882" s="31" t="s">
        <v>2487</v>
      </c>
      <c r="B1882" s="32">
        <v>42058.0</v>
      </c>
      <c r="C1882" s="31" t="s">
        <v>2488</v>
      </c>
      <c r="D1882" s="31" t="s">
        <v>47</v>
      </c>
      <c r="E1882" s="31" t="s">
        <v>45</v>
      </c>
      <c r="F1882" s="33">
        <v>26.88</v>
      </c>
      <c r="G1882" s="33">
        <v>6.0</v>
      </c>
      <c r="H1882" s="33">
        <v>6.72</v>
      </c>
    </row>
    <row r="1883">
      <c r="A1883" s="31" t="s">
        <v>2489</v>
      </c>
      <c r="B1883" s="32">
        <v>42083.0</v>
      </c>
      <c r="C1883" s="31" t="s">
        <v>1180</v>
      </c>
      <c r="D1883" s="31" t="s">
        <v>11</v>
      </c>
      <c r="E1883" s="31" t="s">
        <v>28</v>
      </c>
      <c r="F1883" s="33">
        <v>29.304</v>
      </c>
      <c r="G1883" s="33">
        <v>3.0</v>
      </c>
      <c r="H1883" s="33">
        <v>2.5641</v>
      </c>
    </row>
    <row r="1884">
      <c r="A1884" s="31" t="s">
        <v>2490</v>
      </c>
      <c r="B1884" s="32">
        <v>42064.0</v>
      </c>
      <c r="C1884" s="31" t="s">
        <v>2491</v>
      </c>
      <c r="D1884" s="31" t="s">
        <v>38</v>
      </c>
      <c r="E1884" s="31" t="s">
        <v>31</v>
      </c>
      <c r="F1884" s="33">
        <v>55.328</v>
      </c>
      <c r="G1884" s="33">
        <v>2.0</v>
      </c>
      <c r="H1884" s="33">
        <v>6.2244</v>
      </c>
    </row>
    <row r="1885">
      <c r="A1885" s="31" t="s">
        <v>2492</v>
      </c>
      <c r="B1885" s="32">
        <v>42253.0</v>
      </c>
      <c r="C1885" s="31" t="s">
        <v>2469</v>
      </c>
      <c r="D1885" s="31" t="s">
        <v>38</v>
      </c>
      <c r="E1885" s="31" t="s">
        <v>59</v>
      </c>
      <c r="F1885" s="33">
        <v>46.62</v>
      </c>
      <c r="G1885" s="33">
        <v>9.0</v>
      </c>
      <c r="H1885" s="33">
        <v>21.4452</v>
      </c>
    </row>
    <row r="1886">
      <c r="A1886" s="31" t="s">
        <v>2493</v>
      </c>
      <c r="B1886" s="32">
        <v>42211.0</v>
      </c>
      <c r="C1886" s="31" t="s">
        <v>1917</v>
      </c>
      <c r="D1886" s="31" t="s">
        <v>38</v>
      </c>
      <c r="E1886" s="31" t="s">
        <v>28</v>
      </c>
      <c r="F1886" s="33">
        <v>266.352</v>
      </c>
      <c r="G1886" s="33">
        <v>3.0</v>
      </c>
      <c r="H1886" s="33">
        <v>13.3176</v>
      </c>
    </row>
    <row r="1887">
      <c r="A1887" s="31" t="s">
        <v>2494</v>
      </c>
      <c r="B1887" s="32">
        <v>42331.0</v>
      </c>
      <c r="C1887" s="31" t="s">
        <v>1590</v>
      </c>
      <c r="D1887" s="31" t="s">
        <v>11</v>
      </c>
      <c r="E1887" s="31" t="s">
        <v>45</v>
      </c>
      <c r="F1887" s="33">
        <v>307.98</v>
      </c>
      <c r="G1887" s="33">
        <v>2.0</v>
      </c>
      <c r="H1887" s="33">
        <v>89.3142</v>
      </c>
    </row>
    <row r="1888">
      <c r="A1888" s="31" t="s">
        <v>2495</v>
      </c>
      <c r="B1888" s="32">
        <v>42336.0</v>
      </c>
      <c r="C1888" s="31" t="s">
        <v>2361</v>
      </c>
      <c r="D1888" s="31" t="s">
        <v>11</v>
      </c>
      <c r="E1888" s="31" t="s">
        <v>31</v>
      </c>
      <c r="F1888" s="33">
        <v>335.52</v>
      </c>
      <c r="G1888" s="33">
        <v>4.0</v>
      </c>
      <c r="H1888" s="33">
        <v>117.432</v>
      </c>
    </row>
    <row r="1889">
      <c r="A1889" s="31" t="s">
        <v>2496</v>
      </c>
      <c r="B1889" s="32">
        <v>42357.0</v>
      </c>
      <c r="C1889" s="31" t="s">
        <v>1370</v>
      </c>
      <c r="D1889" s="31" t="s">
        <v>11</v>
      </c>
      <c r="E1889" s="31" t="s">
        <v>45</v>
      </c>
      <c r="F1889" s="33">
        <v>6.912</v>
      </c>
      <c r="G1889" s="33">
        <v>3.0</v>
      </c>
      <c r="H1889" s="33">
        <v>2.5056</v>
      </c>
    </row>
    <row r="1890">
      <c r="A1890" s="31" t="s">
        <v>2497</v>
      </c>
      <c r="B1890" s="32">
        <v>42160.0</v>
      </c>
      <c r="C1890" s="31" t="s">
        <v>2485</v>
      </c>
      <c r="D1890" s="31" t="s">
        <v>38</v>
      </c>
      <c r="E1890" s="31" t="s">
        <v>31</v>
      </c>
      <c r="F1890" s="33">
        <v>10.56</v>
      </c>
      <c r="G1890" s="33">
        <v>2.0</v>
      </c>
      <c r="H1890" s="33">
        <v>4.752</v>
      </c>
    </row>
    <row r="1891">
      <c r="A1891" s="31" t="s">
        <v>2498</v>
      </c>
      <c r="B1891" s="32">
        <v>42323.0</v>
      </c>
      <c r="C1891" s="31" t="s">
        <v>1720</v>
      </c>
      <c r="D1891" s="31" t="s">
        <v>47</v>
      </c>
      <c r="E1891" s="31" t="s">
        <v>59</v>
      </c>
      <c r="F1891" s="33">
        <v>39.96</v>
      </c>
      <c r="G1891" s="33">
        <v>2.0</v>
      </c>
      <c r="H1891" s="33">
        <v>14.3856</v>
      </c>
    </row>
    <row r="1892">
      <c r="A1892" s="31" t="s">
        <v>2499</v>
      </c>
      <c r="B1892" s="32">
        <v>42177.0</v>
      </c>
      <c r="C1892" s="31" t="s">
        <v>1365</v>
      </c>
      <c r="D1892" s="31" t="s">
        <v>11</v>
      </c>
      <c r="E1892" s="31" t="s">
        <v>45</v>
      </c>
      <c r="F1892" s="33">
        <v>1217.568</v>
      </c>
      <c r="G1892" s="33">
        <v>2.0</v>
      </c>
      <c r="H1892" s="33">
        <v>456.588</v>
      </c>
    </row>
    <row r="1893">
      <c r="A1893" s="31" t="s">
        <v>2500</v>
      </c>
      <c r="B1893" s="32">
        <v>42187.0</v>
      </c>
      <c r="C1893" s="31" t="s">
        <v>1400</v>
      </c>
      <c r="D1893" s="31" t="s">
        <v>38</v>
      </c>
      <c r="E1893" s="31" t="s">
        <v>59</v>
      </c>
      <c r="F1893" s="33">
        <v>74.24</v>
      </c>
      <c r="G1893" s="33">
        <v>1.0</v>
      </c>
      <c r="H1893" s="33">
        <v>8.352</v>
      </c>
    </row>
    <row r="1894">
      <c r="A1894" s="31" t="s">
        <v>2501</v>
      </c>
      <c r="B1894" s="32">
        <v>42269.0</v>
      </c>
      <c r="C1894" s="31" t="s">
        <v>2336</v>
      </c>
      <c r="D1894" s="31" t="s">
        <v>11</v>
      </c>
      <c r="E1894" s="31" t="s">
        <v>45</v>
      </c>
      <c r="F1894" s="33">
        <v>55.6</v>
      </c>
      <c r="G1894" s="33">
        <v>5.0</v>
      </c>
      <c r="H1894" s="33">
        <v>6.255</v>
      </c>
    </row>
    <row r="1895">
      <c r="A1895" s="31" t="s">
        <v>2502</v>
      </c>
      <c r="B1895" s="32">
        <v>42258.0</v>
      </c>
      <c r="C1895" s="31" t="s">
        <v>1258</v>
      </c>
      <c r="D1895" s="31" t="s">
        <v>47</v>
      </c>
      <c r="E1895" s="31" t="s">
        <v>45</v>
      </c>
      <c r="F1895" s="33">
        <v>31.05</v>
      </c>
      <c r="G1895" s="33">
        <v>3.0</v>
      </c>
      <c r="H1895" s="33">
        <v>14.904</v>
      </c>
    </row>
    <row r="1896">
      <c r="A1896" s="31" t="s">
        <v>2503</v>
      </c>
      <c r="B1896" s="32">
        <v>42358.0</v>
      </c>
      <c r="C1896" s="31" t="s">
        <v>1531</v>
      </c>
      <c r="D1896" s="31" t="s">
        <v>11</v>
      </c>
      <c r="E1896" s="31" t="s">
        <v>59</v>
      </c>
      <c r="F1896" s="33">
        <v>36.27</v>
      </c>
      <c r="G1896" s="33">
        <v>3.0</v>
      </c>
      <c r="H1896" s="33">
        <v>10.881</v>
      </c>
    </row>
    <row r="1897">
      <c r="A1897" s="31" t="s">
        <v>2504</v>
      </c>
      <c r="B1897" s="32">
        <v>42086.0</v>
      </c>
      <c r="C1897" s="31" t="s">
        <v>2505</v>
      </c>
      <c r="D1897" s="31" t="s">
        <v>38</v>
      </c>
      <c r="E1897" s="31" t="s">
        <v>28</v>
      </c>
      <c r="F1897" s="33">
        <v>192.72</v>
      </c>
      <c r="G1897" s="33">
        <v>11.0</v>
      </c>
      <c r="H1897" s="33">
        <v>92.5056</v>
      </c>
    </row>
    <row r="1898">
      <c r="A1898" s="31" t="s">
        <v>2506</v>
      </c>
      <c r="B1898" s="32">
        <v>42339.0</v>
      </c>
      <c r="C1898" s="31" t="s">
        <v>2488</v>
      </c>
      <c r="D1898" s="31" t="s">
        <v>47</v>
      </c>
      <c r="E1898" s="31" t="s">
        <v>28</v>
      </c>
      <c r="F1898" s="33">
        <v>2676.672</v>
      </c>
      <c r="G1898" s="33">
        <v>9.0</v>
      </c>
      <c r="H1898" s="33">
        <v>267.6672</v>
      </c>
    </row>
    <row r="1899">
      <c r="A1899" s="31" t="s">
        <v>2507</v>
      </c>
      <c r="B1899" s="32">
        <v>42223.0</v>
      </c>
      <c r="C1899" s="31" t="s">
        <v>2310</v>
      </c>
      <c r="D1899" s="31" t="s">
        <v>38</v>
      </c>
      <c r="E1899" s="31" t="s">
        <v>59</v>
      </c>
      <c r="F1899" s="33">
        <v>494.97</v>
      </c>
      <c r="G1899" s="33">
        <v>3.0</v>
      </c>
      <c r="H1899" s="33">
        <v>148.491</v>
      </c>
    </row>
    <row r="1900">
      <c r="A1900" s="31" t="s">
        <v>2508</v>
      </c>
      <c r="B1900" s="32">
        <v>42030.0</v>
      </c>
      <c r="C1900" s="31" t="s">
        <v>2509</v>
      </c>
      <c r="D1900" s="31" t="s">
        <v>38</v>
      </c>
      <c r="E1900" s="31" t="s">
        <v>28</v>
      </c>
      <c r="F1900" s="33">
        <v>182.72</v>
      </c>
      <c r="G1900" s="33">
        <v>8.0</v>
      </c>
      <c r="H1900" s="33">
        <v>84.0512</v>
      </c>
    </row>
    <row r="1901">
      <c r="A1901" s="31" t="s">
        <v>2510</v>
      </c>
      <c r="B1901" s="32">
        <v>42274.0</v>
      </c>
      <c r="C1901" s="31" t="s">
        <v>2511</v>
      </c>
      <c r="D1901" s="31" t="s">
        <v>38</v>
      </c>
      <c r="E1901" s="31" t="s">
        <v>28</v>
      </c>
      <c r="F1901" s="33">
        <v>99.2</v>
      </c>
      <c r="G1901" s="33">
        <v>5.0</v>
      </c>
      <c r="H1901" s="33">
        <v>25.792</v>
      </c>
    </row>
    <row r="1902">
      <c r="A1902" s="31" t="s">
        <v>2512</v>
      </c>
      <c r="B1902" s="32">
        <v>42107.0</v>
      </c>
      <c r="C1902" s="31" t="s">
        <v>2513</v>
      </c>
      <c r="D1902" s="31" t="s">
        <v>11</v>
      </c>
      <c r="E1902" s="31" t="s">
        <v>31</v>
      </c>
      <c r="F1902" s="33">
        <v>609.98</v>
      </c>
      <c r="G1902" s="33">
        <v>4.0</v>
      </c>
      <c r="H1902" s="33">
        <v>-113.282</v>
      </c>
    </row>
    <row r="1903">
      <c r="A1903" s="31" t="s">
        <v>2514</v>
      </c>
      <c r="B1903" s="32">
        <v>42355.0</v>
      </c>
      <c r="C1903" s="31" t="s">
        <v>1592</v>
      </c>
      <c r="D1903" s="31" t="s">
        <v>11</v>
      </c>
      <c r="E1903" s="31" t="s">
        <v>28</v>
      </c>
      <c r="F1903" s="33">
        <v>204.85</v>
      </c>
      <c r="G1903" s="33">
        <v>5.0</v>
      </c>
      <c r="H1903" s="33">
        <v>53.261</v>
      </c>
    </row>
    <row r="1904">
      <c r="A1904" s="31" t="s">
        <v>2515</v>
      </c>
      <c r="B1904" s="32">
        <v>42296.0</v>
      </c>
      <c r="C1904" s="31" t="s">
        <v>2516</v>
      </c>
      <c r="D1904" s="31" t="s">
        <v>11</v>
      </c>
      <c r="E1904" s="31" t="s">
        <v>31</v>
      </c>
      <c r="F1904" s="33">
        <v>1.72</v>
      </c>
      <c r="G1904" s="33">
        <v>1.0</v>
      </c>
      <c r="H1904" s="33">
        <v>-2.838</v>
      </c>
    </row>
    <row r="1905">
      <c r="A1905" s="31" t="s">
        <v>2517</v>
      </c>
      <c r="B1905" s="32">
        <v>42341.0</v>
      </c>
      <c r="C1905" s="31" t="s">
        <v>2518</v>
      </c>
      <c r="D1905" s="31" t="s">
        <v>11</v>
      </c>
      <c r="E1905" s="31" t="s">
        <v>59</v>
      </c>
      <c r="F1905" s="33">
        <v>77.952</v>
      </c>
      <c r="G1905" s="33">
        <v>3.0</v>
      </c>
      <c r="H1905" s="33">
        <v>12.6672</v>
      </c>
    </row>
    <row r="1906">
      <c r="A1906" s="31" t="s">
        <v>2519</v>
      </c>
      <c r="B1906" s="32">
        <v>42362.0</v>
      </c>
      <c r="C1906" s="31" t="s">
        <v>1848</v>
      </c>
      <c r="D1906" s="31" t="s">
        <v>38</v>
      </c>
      <c r="E1906" s="31" t="s">
        <v>31</v>
      </c>
      <c r="F1906" s="33">
        <v>9.68</v>
      </c>
      <c r="G1906" s="33">
        <v>2.0</v>
      </c>
      <c r="H1906" s="33">
        <v>3.7752</v>
      </c>
    </row>
    <row r="1907">
      <c r="A1907" s="31" t="s">
        <v>2520</v>
      </c>
      <c r="B1907" s="32">
        <v>42099.0</v>
      </c>
      <c r="C1907" s="31" t="s">
        <v>2246</v>
      </c>
      <c r="D1907" s="31" t="s">
        <v>11</v>
      </c>
      <c r="E1907" s="31" t="s">
        <v>28</v>
      </c>
      <c r="F1907" s="33">
        <v>239.94</v>
      </c>
      <c r="G1907" s="33">
        <v>6.0</v>
      </c>
      <c r="H1907" s="33">
        <v>26.3934</v>
      </c>
    </row>
    <row r="1908">
      <c r="A1908" s="31" t="s">
        <v>2521</v>
      </c>
      <c r="B1908" s="32">
        <v>42358.0</v>
      </c>
      <c r="C1908" s="31" t="s">
        <v>2522</v>
      </c>
      <c r="D1908" s="31" t="s">
        <v>47</v>
      </c>
      <c r="E1908" s="31" t="s">
        <v>31</v>
      </c>
      <c r="F1908" s="33">
        <v>100.8</v>
      </c>
      <c r="G1908" s="33">
        <v>2.0</v>
      </c>
      <c r="H1908" s="33">
        <v>21.42</v>
      </c>
    </row>
    <row r="1909">
      <c r="A1909" s="31" t="s">
        <v>2523</v>
      </c>
      <c r="B1909" s="32">
        <v>42323.0</v>
      </c>
      <c r="C1909" s="31" t="s">
        <v>2524</v>
      </c>
      <c r="D1909" s="31" t="s">
        <v>38</v>
      </c>
      <c r="E1909" s="31" t="s">
        <v>45</v>
      </c>
      <c r="F1909" s="33">
        <v>166.92</v>
      </c>
      <c r="G1909" s="33">
        <v>13.0</v>
      </c>
      <c r="H1909" s="33">
        <v>-116.844</v>
      </c>
    </row>
    <row r="1910">
      <c r="A1910" s="31" t="s">
        <v>2525</v>
      </c>
      <c r="B1910" s="32">
        <v>42184.0</v>
      </c>
      <c r="C1910" s="31" t="s">
        <v>1846</v>
      </c>
      <c r="D1910" s="31" t="s">
        <v>11</v>
      </c>
      <c r="E1910" s="31" t="s">
        <v>45</v>
      </c>
      <c r="F1910" s="33">
        <v>117.882</v>
      </c>
      <c r="G1910" s="33">
        <v>1.0</v>
      </c>
      <c r="H1910" s="33">
        <v>1.3098</v>
      </c>
    </row>
    <row r="1911">
      <c r="A1911" s="31" t="s">
        <v>2526</v>
      </c>
      <c r="B1911" s="32">
        <v>42278.0</v>
      </c>
      <c r="C1911" s="31" t="s">
        <v>1082</v>
      </c>
      <c r="D1911" s="31" t="s">
        <v>11</v>
      </c>
      <c r="E1911" s="31" t="s">
        <v>31</v>
      </c>
      <c r="F1911" s="33">
        <v>2.992</v>
      </c>
      <c r="G1911" s="33">
        <v>4.0</v>
      </c>
      <c r="H1911" s="33">
        <v>-4.488</v>
      </c>
    </row>
    <row r="1912">
      <c r="A1912" s="31" t="s">
        <v>2527</v>
      </c>
      <c r="B1912" s="32">
        <v>42101.0</v>
      </c>
      <c r="C1912" s="31" t="s">
        <v>2440</v>
      </c>
      <c r="D1912" s="31" t="s">
        <v>11</v>
      </c>
      <c r="E1912" s="31" t="s">
        <v>45</v>
      </c>
      <c r="F1912" s="33">
        <v>25.92</v>
      </c>
      <c r="G1912" s="33">
        <v>4.0</v>
      </c>
      <c r="H1912" s="33">
        <v>12.4416</v>
      </c>
    </row>
    <row r="1913">
      <c r="A1913" s="31" t="s">
        <v>2528</v>
      </c>
      <c r="B1913" s="32">
        <v>42269.0</v>
      </c>
      <c r="C1913" s="31" t="s">
        <v>1418</v>
      </c>
      <c r="D1913" s="31" t="s">
        <v>38</v>
      </c>
      <c r="E1913" s="31" t="s">
        <v>28</v>
      </c>
      <c r="F1913" s="33">
        <v>61.44</v>
      </c>
      <c r="G1913" s="33">
        <v>3.0</v>
      </c>
      <c r="H1913" s="33">
        <v>16.5888</v>
      </c>
    </row>
    <row r="1914">
      <c r="A1914" s="31" t="s">
        <v>2529</v>
      </c>
      <c r="B1914" s="32">
        <v>42142.0</v>
      </c>
      <c r="C1914" s="31" t="s">
        <v>2530</v>
      </c>
      <c r="D1914" s="31" t="s">
        <v>38</v>
      </c>
      <c r="E1914" s="31" t="s">
        <v>28</v>
      </c>
      <c r="F1914" s="33">
        <v>10.86</v>
      </c>
      <c r="G1914" s="33">
        <v>2.0</v>
      </c>
      <c r="H1914" s="33">
        <v>5.3214</v>
      </c>
    </row>
    <row r="1915">
      <c r="A1915" s="31" t="s">
        <v>2531</v>
      </c>
      <c r="B1915" s="32">
        <v>42259.0</v>
      </c>
      <c r="C1915" s="31" t="s">
        <v>2532</v>
      </c>
      <c r="D1915" s="31" t="s">
        <v>11</v>
      </c>
      <c r="E1915" s="31" t="s">
        <v>28</v>
      </c>
      <c r="F1915" s="33">
        <v>21.98</v>
      </c>
      <c r="G1915" s="33">
        <v>2.0</v>
      </c>
      <c r="H1915" s="33">
        <v>8.5722</v>
      </c>
    </row>
    <row r="1916">
      <c r="A1916" s="31" t="s">
        <v>2533</v>
      </c>
      <c r="B1916" s="32">
        <v>42310.0</v>
      </c>
      <c r="C1916" s="31" t="s">
        <v>2522</v>
      </c>
      <c r="D1916" s="31" t="s">
        <v>47</v>
      </c>
      <c r="E1916" s="31" t="s">
        <v>45</v>
      </c>
      <c r="F1916" s="33">
        <v>2621.322</v>
      </c>
      <c r="G1916" s="33">
        <v>11.0</v>
      </c>
      <c r="H1916" s="33">
        <v>553.3902</v>
      </c>
    </row>
    <row r="1917">
      <c r="A1917" s="31" t="s">
        <v>2534</v>
      </c>
      <c r="B1917" s="32">
        <v>42297.0</v>
      </c>
      <c r="C1917" s="31" t="s">
        <v>1871</v>
      </c>
      <c r="D1917" s="31" t="s">
        <v>11</v>
      </c>
      <c r="E1917" s="31" t="s">
        <v>28</v>
      </c>
      <c r="F1917" s="33">
        <v>74.76</v>
      </c>
      <c r="G1917" s="33">
        <v>7.0</v>
      </c>
      <c r="H1917" s="33">
        <v>23.9232</v>
      </c>
    </row>
    <row r="1918">
      <c r="A1918" s="31" t="s">
        <v>2535</v>
      </c>
      <c r="B1918" s="32">
        <v>42328.0</v>
      </c>
      <c r="C1918" s="31" t="s">
        <v>1542</v>
      </c>
      <c r="D1918" s="31" t="s">
        <v>38</v>
      </c>
      <c r="E1918" s="31" t="s">
        <v>28</v>
      </c>
      <c r="F1918" s="33">
        <v>89.696</v>
      </c>
      <c r="G1918" s="33">
        <v>4.0</v>
      </c>
      <c r="H1918" s="33">
        <v>33.636</v>
      </c>
    </row>
    <row r="1919">
      <c r="A1919" s="31" t="s">
        <v>2536</v>
      </c>
      <c r="B1919" s="32">
        <v>42167.0</v>
      </c>
      <c r="C1919" s="31" t="s">
        <v>2421</v>
      </c>
      <c r="D1919" s="31" t="s">
        <v>47</v>
      </c>
      <c r="E1919" s="31" t="s">
        <v>31</v>
      </c>
      <c r="F1919" s="33">
        <v>24.56</v>
      </c>
      <c r="G1919" s="33">
        <v>2.0</v>
      </c>
      <c r="H1919" s="33">
        <v>6.8768</v>
      </c>
    </row>
    <row r="1920">
      <c r="A1920" s="31" t="s">
        <v>2537</v>
      </c>
      <c r="B1920" s="32">
        <v>42313.0</v>
      </c>
      <c r="C1920" s="31" t="s">
        <v>2538</v>
      </c>
      <c r="D1920" s="31" t="s">
        <v>11</v>
      </c>
      <c r="E1920" s="31" t="s">
        <v>45</v>
      </c>
      <c r="F1920" s="33">
        <v>7.218</v>
      </c>
      <c r="G1920" s="33">
        <v>3.0</v>
      </c>
      <c r="H1920" s="33">
        <v>-5.5338</v>
      </c>
    </row>
    <row r="1921">
      <c r="A1921" s="31" t="s">
        <v>2539</v>
      </c>
      <c r="B1921" s="32">
        <v>42041.0</v>
      </c>
      <c r="C1921" s="31" t="s">
        <v>1526</v>
      </c>
      <c r="D1921" s="31" t="s">
        <v>38</v>
      </c>
      <c r="E1921" s="31" t="s">
        <v>59</v>
      </c>
      <c r="F1921" s="33">
        <v>146.73</v>
      </c>
      <c r="G1921" s="33">
        <v>3.0</v>
      </c>
      <c r="H1921" s="33">
        <v>2.9346</v>
      </c>
    </row>
    <row r="1922">
      <c r="A1922" s="31" t="s">
        <v>2540</v>
      </c>
      <c r="B1922" s="32">
        <v>42353.0</v>
      </c>
      <c r="C1922" s="31" t="s">
        <v>2472</v>
      </c>
      <c r="D1922" s="31" t="s">
        <v>38</v>
      </c>
      <c r="E1922" s="31" t="s">
        <v>59</v>
      </c>
      <c r="F1922" s="33">
        <v>246.168</v>
      </c>
      <c r="G1922" s="33">
        <v>3.0</v>
      </c>
      <c r="H1922" s="33">
        <v>21.5397</v>
      </c>
    </row>
    <row r="1923">
      <c r="A1923" s="31" t="s">
        <v>2541</v>
      </c>
      <c r="B1923" s="32">
        <v>42183.0</v>
      </c>
      <c r="C1923" s="31" t="s">
        <v>2542</v>
      </c>
      <c r="D1923" s="31" t="s">
        <v>38</v>
      </c>
      <c r="E1923" s="31" t="s">
        <v>45</v>
      </c>
      <c r="F1923" s="33">
        <v>15.552</v>
      </c>
      <c r="G1923" s="33">
        <v>3.0</v>
      </c>
      <c r="H1923" s="33">
        <v>5.4432</v>
      </c>
    </row>
    <row r="1924">
      <c r="A1924" s="31" t="s">
        <v>2543</v>
      </c>
      <c r="B1924" s="32">
        <v>42156.0</v>
      </c>
      <c r="C1924" s="31" t="s">
        <v>2544</v>
      </c>
      <c r="D1924" s="31" t="s">
        <v>11</v>
      </c>
      <c r="E1924" s="31" t="s">
        <v>31</v>
      </c>
      <c r="F1924" s="33">
        <v>299.98</v>
      </c>
      <c r="G1924" s="33">
        <v>2.0</v>
      </c>
      <c r="H1924" s="33">
        <v>83.9944</v>
      </c>
    </row>
    <row r="1925">
      <c r="A1925" s="31" t="s">
        <v>2545</v>
      </c>
      <c r="B1925" s="32">
        <v>42315.0</v>
      </c>
      <c r="C1925" s="31" t="s">
        <v>2546</v>
      </c>
      <c r="D1925" s="31" t="s">
        <v>11</v>
      </c>
      <c r="E1925" s="31" t="s">
        <v>31</v>
      </c>
      <c r="F1925" s="33">
        <v>23.64</v>
      </c>
      <c r="G1925" s="33">
        <v>3.0</v>
      </c>
      <c r="H1925" s="33">
        <v>5.319</v>
      </c>
    </row>
    <row r="1926">
      <c r="A1926" s="31" t="s">
        <v>2547</v>
      </c>
      <c r="B1926" s="32">
        <v>42149.0</v>
      </c>
      <c r="C1926" s="31" t="s">
        <v>1418</v>
      </c>
      <c r="D1926" s="31" t="s">
        <v>38</v>
      </c>
      <c r="E1926" s="31" t="s">
        <v>31</v>
      </c>
      <c r="F1926" s="33">
        <v>22.368</v>
      </c>
      <c r="G1926" s="33">
        <v>2.0</v>
      </c>
      <c r="H1926" s="33">
        <v>1.6776</v>
      </c>
    </row>
    <row r="1927">
      <c r="A1927" s="31" t="s">
        <v>2548</v>
      </c>
      <c r="B1927" s="32">
        <v>42336.0</v>
      </c>
      <c r="C1927" s="31" t="s">
        <v>2549</v>
      </c>
      <c r="D1927" s="31" t="s">
        <v>47</v>
      </c>
      <c r="E1927" s="31" t="s">
        <v>28</v>
      </c>
      <c r="F1927" s="33">
        <v>8.28</v>
      </c>
      <c r="G1927" s="33">
        <v>2.0</v>
      </c>
      <c r="H1927" s="33">
        <v>3.4776</v>
      </c>
    </row>
    <row r="1928">
      <c r="A1928" s="31" t="s">
        <v>2550</v>
      </c>
      <c r="B1928" s="32">
        <v>42247.0</v>
      </c>
      <c r="C1928" s="31" t="s">
        <v>2235</v>
      </c>
      <c r="D1928" s="31" t="s">
        <v>47</v>
      </c>
      <c r="E1928" s="31" t="s">
        <v>28</v>
      </c>
      <c r="F1928" s="33">
        <v>555.96</v>
      </c>
      <c r="G1928" s="33">
        <v>5.0</v>
      </c>
      <c r="H1928" s="33">
        <v>41.697</v>
      </c>
    </row>
    <row r="1929">
      <c r="A1929" s="31" t="s">
        <v>2551</v>
      </c>
      <c r="B1929" s="32">
        <v>42267.0</v>
      </c>
      <c r="C1929" s="31" t="s">
        <v>2552</v>
      </c>
      <c r="D1929" s="31" t="s">
        <v>11</v>
      </c>
      <c r="E1929" s="31" t="s">
        <v>31</v>
      </c>
      <c r="F1929" s="33">
        <v>2.808</v>
      </c>
      <c r="G1929" s="33">
        <v>3.0</v>
      </c>
      <c r="H1929" s="33">
        <v>-4.4928</v>
      </c>
    </row>
    <row r="1930">
      <c r="A1930" s="31" t="s">
        <v>2553</v>
      </c>
      <c r="B1930" s="32">
        <v>42271.0</v>
      </c>
      <c r="C1930" s="31" t="s">
        <v>1058</v>
      </c>
      <c r="D1930" s="31" t="s">
        <v>11</v>
      </c>
      <c r="E1930" s="31" t="s">
        <v>28</v>
      </c>
      <c r="F1930" s="33">
        <v>14.576</v>
      </c>
      <c r="G1930" s="33">
        <v>2.0</v>
      </c>
      <c r="H1930" s="33">
        <v>2.3686</v>
      </c>
    </row>
    <row r="1931">
      <c r="A1931" s="31" t="s">
        <v>2554</v>
      </c>
      <c r="B1931" s="32">
        <v>42163.0</v>
      </c>
      <c r="C1931" s="31" t="s">
        <v>2555</v>
      </c>
      <c r="D1931" s="31" t="s">
        <v>11</v>
      </c>
      <c r="E1931" s="31" t="s">
        <v>31</v>
      </c>
      <c r="F1931" s="33">
        <v>2.376</v>
      </c>
      <c r="G1931" s="33">
        <v>3.0</v>
      </c>
      <c r="H1931" s="33">
        <v>0.7425</v>
      </c>
    </row>
    <row r="1932">
      <c r="A1932" s="31" t="s">
        <v>2556</v>
      </c>
      <c r="B1932" s="32">
        <v>42237.0</v>
      </c>
      <c r="C1932" s="31" t="s">
        <v>2357</v>
      </c>
      <c r="D1932" s="31" t="s">
        <v>47</v>
      </c>
      <c r="E1932" s="31" t="s">
        <v>45</v>
      </c>
      <c r="F1932" s="33">
        <v>3.488</v>
      </c>
      <c r="G1932" s="33">
        <v>2.0</v>
      </c>
      <c r="H1932" s="33">
        <v>-0.6976</v>
      </c>
    </row>
    <row r="1933">
      <c r="A1933" s="31" t="s">
        <v>2557</v>
      </c>
      <c r="B1933" s="32">
        <v>42310.0</v>
      </c>
      <c r="C1933" s="31" t="s">
        <v>2558</v>
      </c>
      <c r="D1933" s="31" t="s">
        <v>38</v>
      </c>
      <c r="E1933" s="31" t="s">
        <v>31</v>
      </c>
      <c r="F1933" s="33">
        <v>29.372</v>
      </c>
      <c r="G1933" s="33">
        <v>7.0</v>
      </c>
      <c r="H1933" s="33">
        <v>-46.9952</v>
      </c>
    </row>
    <row r="1934">
      <c r="A1934" s="31" t="s">
        <v>2559</v>
      </c>
      <c r="B1934" s="32">
        <v>42077.0</v>
      </c>
      <c r="C1934" s="31" t="s">
        <v>2475</v>
      </c>
      <c r="D1934" s="31" t="s">
        <v>11</v>
      </c>
      <c r="E1934" s="31" t="s">
        <v>28</v>
      </c>
      <c r="F1934" s="33">
        <v>19.44</v>
      </c>
      <c r="G1934" s="33">
        <v>3.0</v>
      </c>
      <c r="H1934" s="33">
        <v>9.3312</v>
      </c>
    </row>
    <row r="1935">
      <c r="A1935" s="31" t="s">
        <v>2560</v>
      </c>
      <c r="B1935" s="32">
        <v>42232.0</v>
      </c>
      <c r="C1935" s="31" t="s">
        <v>2561</v>
      </c>
      <c r="D1935" s="31" t="s">
        <v>11</v>
      </c>
      <c r="E1935" s="31" t="s">
        <v>45</v>
      </c>
      <c r="F1935" s="33">
        <v>44.688</v>
      </c>
      <c r="G1935" s="33">
        <v>7.0</v>
      </c>
      <c r="H1935" s="33">
        <v>3.3516</v>
      </c>
    </row>
    <row r="1936">
      <c r="A1936" s="31" t="s">
        <v>2562</v>
      </c>
      <c r="B1936" s="32">
        <v>42286.0</v>
      </c>
      <c r="C1936" s="31" t="s">
        <v>2342</v>
      </c>
      <c r="D1936" s="31" t="s">
        <v>11</v>
      </c>
      <c r="E1936" s="31" t="s">
        <v>31</v>
      </c>
      <c r="F1936" s="33">
        <v>389.97</v>
      </c>
      <c r="G1936" s="33">
        <v>3.0</v>
      </c>
      <c r="H1936" s="33">
        <v>35.0973</v>
      </c>
    </row>
    <row r="1937">
      <c r="A1937" s="31" t="s">
        <v>2563</v>
      </c>
      <c r="B1937" s="32">
        <v>42272.0</v>
      </c>
      <c r="C1937" s="31" t="s">
        <v>2564</v>
      </c>
      <c r="D1937" s="31" t="s">
        <v>11</v>
      </c>
      <c r="E1937" s="31" t="s">
        <v>45</v>
      </c>
      <c r="F1937" s="33">
        <v>102.582</v>
      </c>
      <c r="G1937" s="33">
        <v>1.0</v>
      </c>
      <c r="H1937" s="33">
        <v>6.8388</v>
      </c>
    </row>
    <row r="1938">
      <c r="A1938" s="31" t="s">
        <v>2565</v>
      </c>
      <c r="B1938" s="32">
        <v>42329.0</v>
      </c>
      <c r="C1938" s="31" t="s">
        <v>2121</v>
      </c>
      <c r="D1938" s="31" t="s">
        <v>11</v>
      </c>
      <c r="E1938" s="31" t="s">
        <v>59</v>
      </c>
      <c r="F1938" s="33">
        <v>18.176</v>
      </c>
      <c r="G1938" s="33">
        <v>1.0</v>
      </c>
      <c r="H1938" s="33">
        <v>4.7712</v>
      </c>
    </row>
    <row r="1939">
      <c r="A1939" s="31" t="s">
        <v>2566</v>
      </c>
      <c r="B1939" s="32">
        <v>42112.0</v>
      </c>
      <c r="C1939" s="31" t="s">
        <v>1746</v>
      </c>
      <c r="D1939" s="31" t="s">
        <v>38</v>
      </c>
      <c r="E1939" s="31" t="s">
        <v>31</v>
      </c>
      <c r="F1939" s="33">
        <v>41.424</v>
      </c>
      <c r="G1939" s="33">
        <v>2.0</v>
      </c>
      <c r="H1939" s="33">
        <v>8.2848</v>
      </c>
    </row>
    <row r="1940">
      <c r="A1940" s="31" t="s">
        <v>2567</v>
      </c>
      <c r="B1940" s="32">
        <v>42266.0</v>
      </c>
      <c r="C1940" s="31" t="s">
        <v>2568</v>
      </c>
      <c r="D1940" s="31" t="s">
        <v>47</v>
      </c>
      <c r="E1940" s="31" t="s">
        <v>28</v>
      </c>
      <c r="F1940" s="33">
        <v>8.4</v>
      </c>
      <c r="G1940" s="33">
        <v>5.0</v>
      </c>
      <c r="H1940" s="33">
        <v>2.184</v>
      </c>
    </row>
    <row r="1941">
      <c r="A1941" s="31" t="s">
        <v>2569</v>
      </c>
      <c r="B1941" s="32">
        <v>42319.0</v>
      </c>
      <c r="C1941" s="31" t="s">
        <v>1811</v>
      </c>
      <c r="D1941" s="31" t="s">
        <v>38</v>
      </c>
      <c r="E1941" s="31" t="s">
        <v>31</v>
      </c>
      <c r="F1941" s="33">
        <v>418.32</v>
      </c>
      <c r="G1941" s="33">
        <v>7.0</v>
      </c>
      <c r="H1941" s="33">
        <v>117.1296</v>
      </c>
    </row>
    <row r="1942">
      <c r="A1942" s="31" t="s">
        <v>2570</v>
      </c>
      <c r="B1942" s="32">
        <v>42336.0</v>
      </c>
      <c r="C1942" s="31" t="s">
        <v>2544</v>
      </c>
      <c r="D1942" s="31" t="s">
        <v>11</v>
      </c>
      <c r="E1942" s="31" t="s">
        <v>28</v>
      </c>
      <c r="F1942" s="33">
        <v>45.28</v>
      </c>
      <c r="G1942" s="33">
        <v>4.0</v>
      </c>
      <c r="H1942" s="33">
        <v>15.3952</v>
      </c>
    </row>
    <row r="1943">
      <c r="A1943" s="31" t="s">
        <v>2571</v>
      </c>
      <c r="B1943" s="32">
        <v>42320.0</v>
      </c>
      <c r="C1943" s="31" t="s">
        <v>2352</v>
      </c>
      <c r="D1943" s="31" t="s">
        <v>11</v>
      </c>
      <c r="E1943" s="31" t="s">
        <v>45</v>
      </c>
      <c r="F1943" s="33">
        <v>15.56</v>
      </c>
      <c r="G1943" s="33">
        <v>2.0</v>
      </c>
      <c r="H1943" s="33">
        <v>7.3132</v>
      </c>
    </row>
    <row r="1944">
      <c r="A1944" s="31" t="s">
        <v>2572</v>
      </c>
      <c r="B1944" s="32">
        <v>42339.0</v>
      </c>
      <c r="C1944" s="31" t="s">
        <v>1799</v>
      </c>
      <c r="D1944" s="31" t="s">
        <v>47</v>
      </c>
      <c r="E1944" s="31" t="s">
        <v>31</v>
      </c>
      <c r="F1944" s="33">
        <v>19.44</v>
      </c>
      <c r="G1944" s="33">
        <v>3.0</v>
      </c>
      <c r="H1944" s="33">
        <v>9.3312</v>
      </c>
    </row>
    <row r="1945">
      <c r="A1945" s="31" t="s">
        <v>2573</v>
      </c>
      <c r="B1945" s="32">
        <v>42153.0</v>
      </c>
      <c r="C1945" s="31" t="s">
        <v>2524</v>
      </c>
      <c r="D1945" s="31" t="s">
        <v>38</v>
      </c>
      <c r="E1945" s="31" t="s">
        <v>45</v>
      </c>
      <c r="F1945" s="33">
        <v>41.568</v>
      </c>
      <c r="G1945" s="33">
        <v>4.0</v>
      </c>
      <c r="H1945" s="33">
        <v>-4.1568</v>
      </c>
    </row>
    <row r="1946">
      <c r="A1946" s="31" t="s">
        <v>2574</v>
      </c>
      <c r="B1946" s="32">
        <v>42352.0</v>
      </c>
      <c r="C1946" s="31" t="s">
        <v>2544</v>
      </c>
      <c r="D1946" s="31" t="s">
        <v>11</v>
      </c>
      <c r="E1946" s="31" t="s">
        <v>28</v>
      </c>
      <c r="F1946" s="33">
        <v>50.0</v>
      </c>
      <c r="G1946" s="33">
        <v>2.0</v>
      </c>
      <c r="H1946" s="33">
        <v>10.5</v>
      </c>
    </row>
    <row r="1947">
      <c r="A1947" s="31" t="s">
        <v>2575</v>
      </c>
      <c r="B1947" s="32">
        <v>42174.0</v>
      </c>
      <c r="C1947" s="31" t="s">
        <v>1498</v>
      </c>
      <c r="D1947" s="31" t="s">
        <v>47</v>
      </c>
      <c r="E1947" s="31" t="s">
        <v>31</v>
      </c>
      <c r="F1947" s="33">
        <v>228.92</v>
      </c>
      <c r="G1947" s="33">
        <v>5.0</v>
      </c>
      <c r="H1947" s="33">
        <v>14.3075</v>
      </c>
    </row>
    <row r="1948">
      <c r="A1948" s="31" t="s">
        <v>2576</v>
      </c>
      <c r="B1948" s="32">
        <v>42302.0</v>
      </c>
      <c r="C1948" s="31" t="s">
        <v>1248</v>
      </c>
      <c r="D1948" s="31" t="s">
        <v>38</v>
      </c>
      <c r="E1948" s="31" t="s">
        <v>28</v>
      </c>
      <c r="F1948" s="33">
        <v>582.336</v>
      </c>
      <c r="G1948" s="33">
        <v>8.0</v>
      </c>
      <c r="H1948" s="33">
        <v>-29.1168</v>
      </c>
    </row>
    <row r="1949">
      <c r="A1949" s="31" t="s">
        <v>2577</v>
      </c>
      <c r="B1949" s="32">
        <v>42263.0</v>
      </c>
      <c r="C1949" s="31" t="s">
        <v>1488</v>
      </c>
      <c r="D1949" s="31" t="s">
        <v>11</v>
      </c>
      <c r="E1949" s="31" t="s">
        <v>59</v>
      </c>
      <c r="F1949" s="33">
        <v>31.12</v>
      </c>
      <c r="G1949" s="33">
        <v>4.0</v>
      </c>
      <c r="H1949" s="33">
        <v>14.6264</v>
      </c>
    </row>
    <row r="1950">
      <c r="A1950" s="31" t="s">
        <v>2578</v>
      </c>
      <c r="B1950" s="32">
        <v>42031.0</v>
      </c>
      <c r="C1950" s="31" t="s">
        <v>2579</v>
      </c>
      <c r="D1950" s="31" t="s">
        <v>11</v>
      </c>
      <c r="E1950" s="31" t="s">
        <v>28</v>
      </c>
      <c r="F1950" s="33">
        <v>2803.92</v>
      </c>
      <c r="G1950" s="33">
        <v>5.0</v>
      </c>
      <c r="H1950" s="33">
        <v>0.0</v>
      </c>
    </row>
    <row r="1951">
      <c r="A1951" s="31" t="s">
        <v>2580</v>
      </c>
      <c r="B1951" s="32">
        <v>42295.0</v>
      </c>
      <c r="C1951" s="31" t="s">
        <v>2581</v>
      </c>
      <c r="D1951" s="31" t="s">
        <v>11</v>
      </c>
      <c r="E1951" s="31" t="s">
        <v>28</v>
      </c>
      <c r="F1951" s="33">
        <v>249.584</v>
      </c>
      <c r="G1951" s="33">
        <v>2.0</v>
      </c>
      <c r="H1951" s="33">
        <v>15.599</v>
      </c>
    </row>
    <row r="1952">
      <c r="A1952" s="31" t="s">
        <v>2582</v>
      </c>
      <c r="B1952" s="32">
        <v>42244.0</v>
      </c>
      <c r="C1952" s="31" t="s">
        <v>1534</v>
      </c>
      <c r="D1952" s="31" t="s">
        <v>38</v>
      </c>
      <c r="E1952" s="31" t="s">
        <v>31</v>
      </c>
      <c r="F1952" s="33">
        <v>1099.96</v>
      </c>
      <c r="G1952" s="33">
        <v>5.0</v>
      </c>
      <c r="H1952" s="33">
        <v>82.497</v>
      </c>
    </row>
    <row r="1953">
      <c r="A1953" s="31" t="s">
        <v>2583</v>
      </c>
      <c r="B1953" s="32">
        <v>42174.0</v>
      </c>
      <c r="C1953" s="31" t="s">
        <v>1507</v>
      </c>
      <c r="D1953" s="31" t="s">
        <v>47</v>
      </c>
      <c r="E1953" s="31" t="s">
        <v>45</v>
      </c>
      <c r="F1953" s="33">
        <v>5.904</v>
      </c>
      <c r="G1953" s="33">
        <v>2.0</v>
      </c>
      <c r="H1953" s="33">
        <v>1.9926</v>
      </c>
    </row>
    <row r="1954">
      <c r="A1954" s="31" t="s">
        <v>2584</v>
      </c>
      <c r="B1954" s="32">
        <v>42233.0</v>
      </c>
      <c r="C1954" s="31" t="s">
        <v>1106</v>
      </c>
      <c r="D1954" s="31" t="s">
        <v>11</v>
      </c>
      <c r="E1954" s="31" t="s">
        <v>28</v>
      </c>
      <c r="F1954" s="33">
        <v>30.08</v>
      </c>
      <c r="G1954" s="33">
        <v>2.0</v>
      </c>
      <c r="H1954" s="33">
        <v>-5.264</v>
      </c>
    </row>
    <row r="1955">
      <c r="A1955" s="31" t="s">
        <v>2585</v>
      </c>
      <c r="B1955" s="32">
        <v>42272.0</v>
      </c>
      <c r="C1955" s="31" t="s">
        <v>1180</v>
      </c>
      <c r="D1955" s="31" t="s">
        <v>11</v>
      </c>
      <c r="E1955" s="31" t="s">
        <v>45</v>
      </c>
      <c r="F1955" s="33">
        <v>2.946</v>
      </c>
      <c r="G1955" s="33">
        <v>2.0</v>
      </c>
      <c r="H1955" s="33">
        <v>-2.0622</v>
      </c>
    </row>
    <row r="1956">
      <c r="A1956" s="31" t="s">
        <v>2586</v>
      </c>
      <c r="B1956" s="32">
        <v>42064.0</v>
      </c>
      <c r="C1956" s="31" t="s">
        <v>2587</v>
      </c>
      <c r="D1956" s="31" t="s">
        <v>38</v>
      </c>
      <c r="E1956" s="31" t="s">
        <v>31</v>
      </c>
      <c r="F1956" s="33">
        <v>95.84</v>
      </c>
      <c r="G1956" s="33">
        <v>4.0</v>
      </c>
      <c r="H1956" s="33">
        <v>34.742</v>
      </c>
    </row>
    <row r="1957">
      <c r="A1957" s="31" t="s">
        <v>2588</v>
      </c>
      <c r="B1957" s="32">
        <v>42153.0</v>
      </c>
      <c r="C1957" s="31" t="s">
        <v>1066</v>
      </c>
      <c r="D1957" s="31" t="s">
        <v>11</v>
      </c>
      <c r="E1957" s="31" t="s">
        <v>31</v>
      </c>
      <c r="F1957" s="33">
        <v>12.39</v>
      </c>
      <c r="G1957" s="33">
        <v>3.0</v>
      </c>
      <c r="H1957" s="33">
        <v>5.6994</v>
      </c>
    </row>
    <row r="1958">
      <c r="A1958" s="31" t="s">
        <v>2589</v>
      </c>
      <c r="B1958" s="32">
        <v>42275.0</v>
      </c>
      <c r="C1958" s="31" t="s">
        <v>1388</v>
      </c>
      <c r="D1958" s="31" t="s">
        <v>38</v>
      </c>
      <c r="E1958" s="31" t="s">
        <v>28</v>
      </c>
      <c r="F1958" s="33">
        <v>186.15</v>
      </c>
      <c r="G1958" s="33">
        <v>3.0</v>
      </c>
      <c r="H1958" s="33">
        <v>55.845</v>
      </c>
    </row>
    <row r="1959">
      <c r="A1959" s="31" t="s">
        <v>2590</v>
      </c>
      <c r="B1959" s="32">
        <v>42155.0</v>
      </c>
      <c r="C1959" s="31" t="s">
        <v>2591</v>
      </c>
      <c r="D1959" s="31" t="s">
        <v>38</v>
      </c>
      <c r="E1959" s="31" t="s">
        <v>31</v>
      </c>
      <c r="F1959" s="33">
        <v>5.904</v>
      </c>
      <c r="G1959" s="33">
        <v>2.0</v>
      </c>
      <c r="H1959" s="33">
        <v>1.9926</v>
      </c>
    </row>
    <row r="1960">
      <c r="A1960" s="31" t="s">
        <v>2592</v>
      </c>
      <c r="B1960" s="32">
        <v>42175.0</v>
      </c>
      <c r="C1960" s="31" t="s">
        <v>2593</v>
      </c>
      <c r="D1960" s="31" t="s">
        <v>47</v>
      </c>
      <c r="E1960" s="31" t="s">
        <v>45</v>
      </c>
      <c r="F1960" s="33">
        <v>319.984</v>
      </c>
      <c r="G1960" s="33">
        <v>2.0</v>
      </c>
      <c r="H1960" s="33">
        <v>91.9954</v>
      </c>
    </row>
    <row r="1961">
      <c r="A1961" s="31" t="s">
        <v>2594</v>
      </c>
      <c r="B1961" s="32">
        <v>42278.0</v>
      </c>
      <c r="C1961" s="31" t="s">
        <v>1082</v>
      </c>
      <c r="D1961" s="31" t="s">
        <v>11</v>
      </c>
      <c r="E1961" s="31" t="s">
        <v>28</v>
      </c>
      <c r="F1961" s="33">
        <v>572.8</v>
      </c>
      <c r="G1961" s="33">
        <v>2.0</v>
      </c>
      <c r="H1961" s="33">
        <v>50.12</v>
      </c>
    </row>
    <row r="1962">
      <c r="A1962" s="31" t="s">
        <v>2595</v>
      </c>
      <c r="B1962" s="32">
        <v>42328.0</v>
      </c>
      <c r="C1962" s="31" t="s">
        <v>1522</v>
      </c>
      <c r="D1962" s="31" t="s">
        <v>11</v>
      </c>
      <c r="E1962" s="31" t="s">
        <v>28</v>
      </c>
      <c r="F1962" s="33">
        <v>32.04</v>
      </c>
      <c r="G1962" s="33">
        <v>3.0</v>
      </c>
      <c r="H1962" s="33">
        <v>8.01</v>
      </c>
    </row>
    <row r="1963">
      <c r="A1963" s="31" t="s">
        <v>2596</v>
      </c>
      <c r="B1963" s="32">
        <v>42240.0</v>
      </c>
      <c r="C1963" s="31" t="s">
        <v>2221</v>
      </c>
      <c r="D1963" s="31" t="s">
        <v>11</v>
      </c>
      <c r="E1963" s="31" t="s">
        <v>45</v>
      </c>
      <c r="F1963" s="33">
        <v>26.982</v>
      </c>
      <c r="G1963" s="33">
        <v>3.0</v>
      </c>
      <c r="H1963" s="33">
        <v>4.0473</v>
      </c>
    </row>
    <row r="1964">
      <c r="A1964" s="31" t="s">
        <v>2597</v>
      </c>
      <c r="B1964" s="32">
        <v>42135.0</v>
      </c>
      <c r="C1964" s="31" t="s">
        <v>1060</v>
      </c>
      <c r="D1964" s="31" t="s">
        <v>47</v>
      </c>
      <c r="E1964" s="31" t="s">
        <v>28</v>
      </c>
      <c r="F1964" s="33">
        <v>191.968</v>
      </c>
      <c r="G1964" s="33">
        <v>7.0</v>
      </c>
      <c r="H1964" s="33">
        <v>16.7972</v>
      </c>
    </row>
    <row r="1965">
      <c r="A1965" s="31" t="s">
        <v>2598</v>
      </c>
      <c r="B1965" s="32">
        <v>42222.0</v>
      </c>
      <c r="C1965" s="31" t="s">
        <v>1210</v>
      </c>
      <c r="D1965" s="31" t="s">
        <v>38</v>
      </c>
      <c r="E1965" s="31" t="s">
        <v>31</v>
      </c>
      <c r="F1965" s="33">
        <v>35.52</v>
      </c>
      <c r="G1965" s="33">
        <v>3.0</v>
      </c>
      <c r="H1965" s="33">
        <v>13.32</v>
      </c>
    </row>
    <row r="1966">
      <c r="A1966" s="31" t="s">
        <v>2599</v>
      </c>
      <c r="B1966" s="32">
        <v>42127.0</v>
      </c>
      <c r="C1966" s="31" t="s">
        <v>1250</v>
      </c>
      <c r="D1966" s="31" t="s">
        <v>47</v>
      </c>
      <c r="E1966" s="31" t="s">
        <v>28</v>
      </c>
      <c r="F1966" s="33">
        <v>13.848</v>
      </c>
      <c r="G1966" s="33">
        <v>3.0</v>
      </c>
      <c r="H1966" s="33">
        <v>5.193</v>
      </c>
    </row>
    <row r="1967">
      <c r="A1967" s="31" t="s">
        <v>2600</v>
      </c>
      <c r="B1967" s="32">
        <v>42318.0</v>
      </c>
      <c r="C1967" s="31" t="s">
        <v>2601</v>
      </c>
      <c r="D1967" s="31" t="s">
        <v>11</v>
      </c>
      <c r="E1967" s="31" t="s">
        <v>45</v>
      </c>
      <c r="F1967" s="33">
        <v>577.584</v>
      </c>
      <c r="G1967" s="33">
        <v>6.0</v>
      </c>
      <c r="H1967" s="33">
        <v>43.3188</v>
      </c>
    </row>
    <row r="1968">
      <c r="A1968" s="31" t="s">
        <v>2602</v>
      </c>
      <c r="B1968" s="32">
        <v>42154.0</v>
      </c>
      <c r="C1968" s="31" t="s">
        <v>2603</v>
      </c>
      <c r="D1968" s="31" t="s">
        <v>47</v>
      </c>
      <c r="E1968" s="31" t="s">
        <v>59</v>
      </c>
      <c r="F1968" s="33">
        <v>151.96</v>
      </c>
      <c r="G1968" s="33">
        <v>4.0</v>
      </c>
      <c r="H1968" s="33">
        <v>36.4704</v>
      </c>
    </row>
    <row r="1969">
      <c r="A1969" s="31" t="s">
        <v>2604</v>
      </c>
      <c r="B1969" s="32">
        <v>42336.0</v>
      </c>
      <c r="C1969" s="31" t="s">
        <v>2352</v>
      </c>
      <c r="D1969" s="31" t="s">
        <v>11</v>
      </c>
      <c r="E1969" s="31" t="s">
        <v>45</v>
      </c>
      <c r="F1969" s="33">
        <v>71.12</v>
      </c>
      <c r="G1969" s="33">
        <v>5.0</v>
      </c>
      <c r="H1969" s="33">
        <v>9.779</v>
      </c>
    </row>
    <row r="1970">
      <c r="A1970" s="31" t="s">
        <v>2605</v>
      </c>
      <c r="B1970" s="32">
        <v>42341.0</v>
      </c>
      <c r="C1970" s="31" t="s">
        <v>1048</v>
      </c>
      <c r="D1970" s="31" t="s">
        <v>47</v>
      </c>
      <c r="E1970" s="31" t="s">
        <v>45</v>
      </c>
      <c r="F1970" s="33">
        <v>184.66</v>
      </c>
      <c r="G1970" s="33">
        <v>7.0</v>
      </c>
      <c r="H1970" s="33">
        <v>84.9436</v>
      </c>
    </row>
    <row r="1971">
      <c r="A1971" s="31" t="s">
        <v>2606</v>
      </c>
      <c r="B1971" s="32">
        <v>42156.0</v>
      </c>
      <c r="C1971" s="31" t="s">
        <v>2607</v>
      </c>
      <c r="D1971" s="31" t="s">
        <v>47</v>
      </c>
      <c r="E1971" s="31" t="s">
        <v>28</v>
      </c>
      <c r="F1971" s="33">
        <v>11.76</v>
      </c>
      <c r="G1971" s="33">
        <v>2.0</v>
      </c>
      <c r="H1971" s="33">
        <v>5.7624</v>
      </c>
    </row>
    <row r="1972">
      <c r="A1972" s="31" t="s">
        <v>2608</v>
      </c>
      <c r="B1972" s="32">
        <v>42271.0</v>
      </c>
      <c r="C1972" s="31" t="s">
        <v>1538</v>
      </c>
      <c r="D1972" s="31" t="s">
        <v>11</v>
      </c>
      <c r="E1972" s="31" t="s">
        <v>45</v>
      </c>
      <c r="F1972" s="33">
        <v>6.732</v>
      </c>
      <c r="G1972" s="33">
        <v>6.0</v>
      </c>
      <c r="H1972" s="33">
        <v>-4.488</v>
      </c>
    </row>
    <row r="1973">
      <c r="A1973" s="31" t="s">
        <v>2609</v>
      </c>
      <c r="B1973" s="32">
        <v>42229.0</v>
      </c>
      <c r="C1973" s="31" t="s">
        <v>1443</v>
      </c>
      <c r="D1973" s="31" t="s">
        <v>11</v>
      </c>
      <c r="E1973" s="31" t="s">
        <v>28</v>
      </c>
      <c r="F1973" s="33">
        <v>31.56</v>
      </c>
      <c r="G1973" s="33">
        <v>3.0</v>
      </c>
      <c r="H1973" s="33">
        <v>10.4148</v>
      </c>
    </row>
    <row r="1974">
      <c r="A1974" s="31" t="s">
        <v>2610</v>
      </c>
      <c r="B1974" s="32">
        <v>42150.0</v>
      </c>
      <c r="C1974" s="31" t="s">
        <v>2611</v>
      </c>
      <c r="D1974" s="31" t="s">
        <v>11</v>
      </c>
      <c r="E1974" s="31" t="s">
        <v>31</v>
      </c>
      <c r="F1974" s="33">
        <v>105.686</v>
      </c>
      <c r="G1974" s="33">
        <v>1.0</v>
      </c>
      <c r="H1974" s="33">
        <v>-28.6862</v>
      </c>
    </row>
    <row r="1975">
      <c r="A1975" s="31" t="s">
        <v>2612</v>
      </c>
      <c r="B1975" s="32">
        <v>42266.0</v>
      </c>
      <c r="C1975" s="31" t="s">
        <v>2140</v>
      </c>
      <c r="D1975" s="31" t="s">
        <v>47</v>
      </c>
      <c r="E1975" s="31" t="s">
        <v>28</v>
      </c>
      <c r="F1975" s="33">
        <v>60.84</v>
      </c>
      <c r="G1975" s="33">
        <v>3.0</v>
      </c>
      <c r="H1975" s="33">
        <v>19.4688</v>
      </c>
    </row>
    <row r="1976">
      <c r="A1976" s="31" t="s">
        <v>2613</v>
      </c>
      <c r="B1976" s="32">
        <v>42108.0</v>
      </c>
      <c r="C1976" s="31" t="s">
        <v>2552</v>
      </c>
      <c r="D1976" s="31" t="s">
        <v>11</v>
      </c>
      <c r="E1976" s="31" t="s">
        <v>28</v>
      </c>
      <c r="F1976" s="33">
        <v>35.208</v>
      </c>
      <c r="G1976" s="33">
        <v>1.0</v>
      </c>
      <c r="H1976" s="33">
        <v>2.6406</v>
      </c>
    </row>
    <row r="1977">
      <c r="A1977" s="31" t="s">
        <v>2614</v>
      </c>
      <c r="B1977" s="32">
        <v>42310.0</v>
      </c>
      <c r="C1977" s="31" t="s">
        <v>2615</v>
      </c>
      <c r="D1977" s="31" t="s">
        <v>11</v>
      </c>
      <c r="E1977" s="31" t="s">
        <v>59</v>
      </c>
      <c r="F1977" s="33">
        <v>197.72</v>
      </c>
      <c r="G1977" s="33">
        <v>4.0</v>
      </c>
      <c r="H1977" s="33">
        <v>55.3616</v>
      </c>
    </row>
    <row r="1978">
      <c r="A1978" s="31" t="s">
        <v>2616</v>
      </c>
      <c r="B1978" s="32">
        <v>42032.0</v>
      </c>
      <c r="C1978" s="31" t="s">
        <v>1128</v>
      </c>
      <c r="D1978" s="31" t="s">
        <v>11</v>
      </c>
      <c r="E1978" s="31" t="s">
        <v>59</v>
      </c>
      <c r="F1978" s="33">
        <v>4297.644</v>
      </c>
      <c r="G1978" s="33">
        <v>13.0</v>
      </c>
      <c r="H1978" s="33">
        <v>-1862.3124</v>
      </c>
    </row>
    <row r="1979">
      <c r="A1979" s="31" t="s">
        <v>2617</v>
      </c>
      <c r="B1979" s="32">
        <v>42345.0</v>
      </c>
      <c r="C1979" s="31" t="s">
        <v>1942</v>
      </c>
      <c r="D1979" s="31" t="s">
        <v>38</v>
      </c>
      <c r="E1979" s="31" t="s">
        <v>28</v>
      </c>
      <c r="F1979" s="33">
        <v>12.96</v>
      </c>
      <c r="G1979" s="33">
        <v>2.0</v>
      </c>
      <c r="H1979" s="33">
        <v>6.2208</v>
      </c>
    </row>
    <row r="1980">
      <c r="A1980" s="31" t="s">
        <v>2618</v>
      </c>
      <c r="B1980" s="32">
        <v>42229.0</v>
      </c>
      <c r="C1980" s="31" t="s">
        <v>2229</v>
      </c>
      <c r="D1980" s="31" t="s">
        <v>38</v>
      </c>
      <c r="E1980" s="31" t="s">
        <v>59</v>
      </c>
      <c r="F1980" s="33">
        <v>64.68</v>
      </c>
      <c r="G1980" s="33">
        <v>7.0</v>
      </c>
      <c r="H1980" s="33">
        <v>8.085</v>
      </c>
    </row>
    <row r="1981">
      <c r="A1981" s="31" t="s">
        <v>2619</v>
      </c>
      <c r="B1981" s="32">
        <v>42365.0</v>
      </c>
      <c r="C1981" s="31" t="s">
        <v>2620</v>
      </c>
      <c r="D1981" s="31" t="s">
        <v>38</v>
      </c>
      <c r="E1981" s="31" t="s">
        <v>28</v>
      </c>
      <c r="F1981" s="33">
        <v>323.1</v>
      </c>
      <c r="G1981" s="33">
        <v>2.0</v>
      </c>
      <c r="H1981" s="33">
        <v>61.389</v>
      </c>
    </row>
    <row r="1982">
      <c r="A1982" s="31" t="s">
        <v>2621</v>
      </c>
      <c r="B1982" s="32">
        <v>42321.0</v>
      </c>
      <c r="C1982" s="31" t="s">
        <v>2134</v>
      </c>
      <c r="D1982" s="31" t="s">
        <v>11</v>
      </c>
      <c r="E1982" s="31" t="s">
        <v>31</v>
      </c>
      <c r="F1982" s="33">
        <v>613.9992</v>
      </c>
      <c r="G1982" s="33">
        <v>3.0</v>
      </c>
      <c r="H1982" s="33">
        <v>-18.0588</v>
      </c>
    </row>
    <row r="1983">
      <c r="A1983" s="31" t="s">
        <v>2622</v>
      </c>
      <c r="B1983" s="32">
        <v>42244.0</v>
      </c>
      <c r="C1983" s="31" t="s">
        <v>1766</v>
      </c>
      <c r="D1983" s="31" t="s">
        <v>38</v>
      </c>
      <c r="E1983" s="31" t="s">
        <v>45</v>
      </c>
      <c r="F1983" s="33">
        <v>470.36</v>
      </c>
      <c r="G1983" s="33">
        <v>11.0</v>
      </c>
      <c r="H1983" s="33">
        <v>122.2936</v>
      </c>
    </row>
    <row r="1984">
      <c r="A1984" s="31" t="s">
        <v>2623</v>
      </c>
      <c r="B1984" s="32">
        <v>42343.0</v>
      </c>
      <c r="C1984" s="31" t="s">
        <v>1516</v>
      </c>
      <c r="D1984" s="31" t="s">
        <v>11</v>
      </c>
      <c r="E1984" s="31" t="s">
        <v>31</v>
      </c>
      <c r="F1984" s="33">
        <v>12.224</v>
      </c>
      <c r="G1984" s="33">
        <v>2.0</v>
      </c>
      <c r="H1984" s="33">
        <v>4.4312</v>
      </c>
    </row>
    <row r="1985">
      <c r="A1985" s="31" t="s">
        <v>2624</v>
      </c>
      <c r="B1985" s="32">
        <v>42184.0</v>
      </c>
      <c r="C1985" s="31" t="s">
        <v>2625</v>
      </c>
      <c r="D1985" s="31" t="s">
        <v>47</v>
      </c>
      <c r="E1985" s="31" t="s">
        <v>31</v>
      </c>
      <c r="F1985" s="33">
        <v>269.98</v>
      </c>
      <c r="G1985" s="33">
        <v>2.0</v>
      </c>
      <c r="H1985" s="33">
        <v>72.8946</v>
      </c>
    </row>
    <row r="1986">
      <c r="A1986" s="31" t="s">
        <v>2626</v>
      </c>
      <c r="B1986" s="32">
        <v>42316.0</v>
      </c>
      <c r="C1986" s="31" t="s">
        <v>1484</v>
      </c>
      <c r="D1986" s="31" t="s">
        <v>38</v>
      </c>
      <c r="E1986" s="31" t="s">
        <v>45</v>
      </c>
      <c r="F1986" s="33">
        <v>4404.9</v>
      </c>
      <c r="G1986" s="33">
        <v>5.0</v>
      </c>
      <c r="H1986" s="33">
        <v>1013.127</v>
      </c>
    </row>
    <row r="1987">
      <c r="A1987" s="31" t="s">
        <v>2627</v>
      </c>
      <c r="B1987" s="32">
        <v>42155.0</v>
      </c>
      <c r="C1987" s="31" t="s">
        <v>2509</v>
      </c>
      <c r="D1987" s="31" t="s">
        <v>38</v>
      </c>
      <c r="E1987" s="31" t="s">
        <v>45</v>
      </c>
      <c r="F1987" s="33">
        <v>274.8</v>
      </c>
      <c r="G1987" s="33">
        <v>5.0</v>
      </c>
      <c r="H1987" s="33">
        <v>134.652</v>
      </c>
    </row>
    <row r="1988">
      <c r="A1988" s="31" t="s">
        <v>2628</v>
      </c>
      <c r="B1988" s="32">
        <v>42133.0</v>
      </c>
      <c r="C1988" s="31" t="s">
        <v>1899</v>
      </c>
      <c r="D1988" s="31" t="s">
        <v>11</v>
      </c>
      <c r="E1988" s="31" t="s">
        <v>59</v>
      </c>
      <c r="F1988" s="33">
        <v>48.81</v>
      </c>
      <c r="G1988" s="33">
        <v>3.0</v>
      </c>
      <c r="H1988" s="33">
        <v>23.9169</v>
      </c>
    </row>
    <row r="1989">
      <c r="A1989" s="31" t="s">
        <v>2629</v>
      </c>
      <c r="B1989" s="32">
        <v>42016.0</v>
      </c>
      <c r="C1989" s="31" t="s">
        <v>2630</v>
      </c>
      <c r="D1989" s="31" t="s">
        <v>38</v>
      </c>
      <c r="E1989" s="31" t="s">
        <v>45</v>
      </c>
      <c r="F1989" s="33">
        <v>10.368</v>
      </c>
      <c r="G1989" s="33">
        <v>2.0</v>
      </c>
      <c r="H1989" s="33">
        <v>1.5552</v>
      </c>
    </row>
    <row r="1990">
      <c r="A1990" s="31" t="s">
        <v>2631</v>
      </c>
      <c r="B1990" s="32">
        <v>42203.0</v>
      </c>
      <c r="C1990" s="31" t="s">
        <v>2632</v>
      </c>
      <c r="D1990" s="31" t="s">
        <v>11</v>
      </c>
      <c r="E1990" s="31" t="s">
        <v>45</v>
      </c>
      <c r="F1990" s="33">
        <v>3.328</v>
      </c>
      <c r="G1990" s="33">
        <v>2.0</v>
      </c>
      <c r="H1990" s="33">
        <v>1.2064</v>
      </c>
    </row>
    <row r="1991">
      <c r="A1991" s="31" t="s">
        <v>2633</v>
      </c>
      <c r="B1991" s="32">
        <v>42163.0</v>
      </c>
      <c r="C1991" s="31" t="s">
        <v>1811</v>
      </c>
      <c r="D1991" s="31" t="s">
        <v>38</v>
      </c>
      <c r="E1991" s="31" t="s">
        <v>59</v>
      </c>
      <c r="F1991" s="33">
        <v>173.488</v>
      </c>
      <c r="G1991" s="33">
        <v>7.0</v>
      </c>
      <c r="H1991" s="33">
        <v>54.215</v>
      </c>
    </row>
    <row r="1992">
      <c r="A1992" s="31" t="s">
        <v>2634</v>
      </c>
      <c r="B1992" s="32">
        <v>42089.0</v>
      </c>
      <c r="C1992" s="31" t="s">
        <v>2635</v>
      </c>
      <c r="D1992" s="31" t="s">
        <v>38</v>
      </c>
      <c r="E1992" s="31" t="s">
        <v>28</v>
      </c>
      <c r="F1992" s="33">
        <v>3393.68</v>
      </c>
      <c r="G1992" s="33">
        <v>8.0</v>
      </c>
      <c r="H1992" s="33">
        <v>610.8624</v>
      </c>
    </row>
    <row r="1993">
      <c r="A1993" s="31" t="s">
        <v>2636</v>
      </c>
      <c r="B1993" s="32">
        <v>42089.0</v>
      </c>
      <c r="C1993" s="31" t="s">
        <v>1766</v>
      </c>
      <c r="D1993" s="31" t="s">
        <v>38</v>
      </c>
      <c r="E1993" s="31" t="s">
        <v>45</v>
      </c>
      <c r="F1993" s="33">
        <v>1085.42</v>
      </c>
      <c r="G1993" s="33">
        <v>7.0</v>
      </c>
      <c r="H1993" s="33">
        <v>282.2092</v>
      </c>
    </row>
    <row r="1994">
      <c r="A1994" s="31" t="s">
        <v>2637</v>
      </c>
      <c r="B1994" s="32">
        <v>42367.0</v>
      </c>
      <c r="C1994" s="31" t="s">
        <v>2638</v>
      </c>
      <c r="D1994" s="31" t="s">
        <v>11</v>
      </c>
      <c r="E1994" s="31" t="s">
        <v>45</v>
      </c>
      <c r="F1994" s="33">
        <v>6.36</v>
      </c>
      <c r="G1994" s="33">
        <v>2.0</v>
      </c>
      <c r="H1994" s="33">
        <v>0.0636</v>
      </c>
    </row>
    <row r="1995">
      <c r="A1995" s="31" t="s">
        <v>2639</v>
      </c>
      <c r="B1995" s="32">
        <v>42153.0</v>
      </c>
      <c r="C1995" s="31" t="s">
        <v>2155</v>
      </c>
      <c r="D1995" s="31" t="s">
        <v>47</v>
      </c>
      <c r="E1995" s="31" t="s">
        <v>45</v>
      </c>
      <c r="F1995" s="33">
        <v>85.056</v>
      </c>
      <c r="G1995" s="33">
        <v>3.0</v>
      </c>
      <c r="H1995" s="33">
        <v>28.7064</v>
      </c>
    </row>
    <row r="1996">
      <c r="A1996" s="31" t="s">
        <v>2640</v>
      </c>
      <c r="B1996" s="32">
        <v>42224.0</v>
      </c>
      <c r="C1996" s="31" t="s">
        <v>1226</v>
      </c>
      <c r="D1996" s="31" t="s">
        <v>11</v>
      </c>
      <c r="E1996" s="31" t="s">
        <v>45</v>
      </c>
      <c r="F1996" s="33">
        <v>79.99</v>
      </c>
      <c r="G1996" s="33">
        <v>1.0</v>
      </c>
      <c r="H1996" s="33">
        <v>28.7964</v>
      </c>
    </row>
    <row r="1997">
      <c r="A1997" s="31" t="s">
        <v>2641</v>
      </c>
      <c r="B1997" s="32">
        <v>42260.0</v>
      </c>
      <c r="C1997" s="31" t="s">
        <v>2642</v>
      </c>
      <c r="D1997" s="31" t="s">
        <v>38</v>
      </c>
      <c r="E1997" s="31" t="s">
        <v>28</v>
      </c>
      <c r="F1997" s="33">
        <v>131.88</v>
      </c>
      <c r="G1997" s="33">
        <v>7.0</v>
      </c>
      <c r="H1997" s="33">
        <v>55.3896</v>
      </c>
    </row>
    <row r="1998">
      <c r="A1998" s="31" t="s">
        <v>2643</v>
      </c>
      <c r="B1998" s="32">
        <v>42287.0</v>
      </c>
      <c r="C1998" s="31" t="s">
        <v>1940</v>
      </c>
      <c r="D1998" s="31" t="s">
        <v>38</v>
      </c>
      <c r="E1998" s="31" t="s">
        <v>28</v>
      </c>
      <c r="F1998" s="33">
        <v>362.136</v>
      </c>
      <c r="G1998" s="33">
        <v>3.0</v>
      </c>
      <c r="H1998" s="33">
        <v>-54.3204</v>
      </c>
    </row>
    <row r="1999">
      <c r="A1999" s="31" t="s">
        <v>2644</v>
      </c>
      <c r="B1999" s="32">
        <v>42271.0</v>
      </c>
      <c r="C1999" s="31" t="s">
        <v>2645</v>
      </c>
      <c r="D1999" s="31" t="s">
        <v>11</v>
      </c>
      <c r="E1999" s="31" t="s">
        <v>45</v>
      </c>
      <c r="F1999" s="33">
        <v>39.98</v>
      </c>
      <c r="G1999" s="33">
        <v>1.0</v>
      </c>
      <c r="H1999" s="33">
        <v>17.991</v>
      </c>
    </row>
    <row r="2000">
      <c r="A2000" s="31" t="s">
        <v>2646</v>
      </c>
      <c r="B2000" s="32">
        <v>42083.0</v>
      </c>
      <c r="C2000" s="31" t="s">
        <v>1699</v>
      </c>
      <c r="D2000" s="31" t="s">
        <v>38</v>
      </c>
      <c r="E2000" s="31" t="s">
        <v>45</v>
      </c>
      <c r="F2000" s="33">
        <v>49.848</v>
      </c>
      <c r="G2000" s="33">
        <v>3.0</v>
      </c>
      <c r="H2000" s="33">
        <v>16.8237</v>
      </c>
    </row>
    <row r="2001">
      <c r="A2001" s="31" t="s">
        <v>2647</v>
      </c>
      <c r="B2001" s="32">
        <v>42321.0</v>
      </c>
      <c r="C2001" s="31" t="s">
        <v>2331</v>
      </c>
      <c r="D2001" s="31" t="s">
        <v>11</v>
      </c>
      <c r="E2001" s="31" t="s">
        <v>28</v>
      </c>
      <c r="F2001" s="33">
        <v>9.872</v>
      </c>
      <c r="G2001" s="33">
        <v>2.0</v>
      </c>
      <c r="H2001" s="33">
        <v>3.4552</v>
      </c>
    </row>
    <row r="2002">
      <c r="A2002" s="31" t="s">
        <v>2648</v>
      </c>
      <c r="B2002" s="32">
        <v>42106.0</v>
      </c>
      <c r="C2002" s="31" t="s">
        <v>2145</v>
      </c>
      <c r="D2002" s="31" t="s">
        <v>47</v>
      </c>
      <c r="E2002" s="31" t="s">
        <v>28</v>
      </c>
      <c r="F2002" s="33">
        <v>40.74</v>
      </c>
      <c r="G2002" s="33">
        <v>3.0</v>
      </c>
      <c r="H2002" s="33">
        <v>0.4074</v>
      </c>
    </row>
    <row r="2003">
      <c r="A2003" s="31" t="s">
        <v>2649</v>
      </c>
      <c r="B2003" s="32">
        <v>42352.0</v>
      </c>
      <c r="C2003" s="31" t="s">
        <v>2650</v>
      </c>
      <c r="D2003" s="31" t="s">
        <v>38</v>
      </c>
      <c r="E2003" s="31" t="s">
        <v>28</v>
      </c>
      <c r="F2003" s="33">
        <v>55.264</v>
      </c>
      <c r="G2003" s="33">
        <v>2.0</v>
      </c>
      <c r="H2003" s="33">
        <v>20.724</v>
      </c>
    </row>
    <row r="2004">
      <c r="A2004" s="31" t="s">
        <v>2651</v>
      </c>
      <c r="B2004" s="32">
        <v>42082.0</v>
      </c>
      <c r="C2004" s="31" t="s">
        <v>1324</v>
      </c>
      <c r="D2004" s="31" t="s">
        <v>47</v>
      </c>
      <c r="E2004" s="31" t="s">
        <v>31</v>
      </c>
      <c r="F2004" s="33">
        <v>65.584</v>
      </c>
      <c r="G2004" s="33">
        <v>2.0</v>
      </c>
      <c r="H2004" s="33">
        <v>23.7742</v>
      </c>
    </row>
    <row r="2005">
      <c r="A2005" s="31" t="s">
        <v>2652</v>
      </c>
      <c r="B2005" s="32">
        <v>42211.0</v>
      </c>
      <c r="C2005" s="31" t="s">
        <v>2033</v>
      </c>
      <c r="D2005" s="31" t="s">
        <v>11</v>
      </c>
      <c r="E2005" s="31" t="s">
        <v>45</v>
      </c>
      <c r="F2005" s="33">
        <v>10.368</v>
      </c>
      <c r="G2005" s="33">
        <v>2.0</v>
      </c>
      <c r="H2005" s="33">
        <v>3.6288</v>
      </c>
    </row>
    <row r="2006">
      <c r="A2006" s="31" t="s">
        <v>2653</v>
      </c>
      <c r="B2006" s="32">
        <v>42183.0</v>
      </c>
      <c r="C2006" s="31" t="s">
        <v>1087</v>
      </c>
      <c r="D2006" s="31" t="s">
        <v>47</v>
      </c>
      <c r="E2006" s="31" t="s">
        <v>59</v>
      </c>
      <c r="F2006" s="33">
        <v>119.56</v>
      </c>
      <c r="G2006" s="33">
        <v>2.0</v>
      </c>
      <c r="H2006" s="33">
        <v>54.9976</v>
      </c>
    </row>
    <row r="2007">
      <c r="A2007" s="31" t="s">
        <v>2654</v>
      </c>
      <c r="B2007" s="32">
        <v>42253.0</v>
      </c>
      <c r="C2007" s="31" t="s">
        <v>1365</v>
      </c>
      <c r="D2007" s="31" t="s">
        <v>11</v>
      </c>
      <c r="E2007" s="31" t="s">
        <v>59</v>
      </c>
      <c r="F2007" s="33">
        <v>85.98</v>
      </c>
      <c r="G2007" s="33">
        <v>1.0</v>
      </c>
      <c r="H2007" s="33">
        <v>22.3548</v>
      </c>
    </row>
    <row r="2008">
      <c r="A2008" s="31" t="s">
        <v>2655</v>
      </c>
      <c r="B2008" s="32">
        <v>42141.0</v>
      </c>
      <c r="C2008" s="31" t="s">
        <v>1989</v>
      </c>
      <c r="D2008" s="31" t="s">
        <v>11</v>
      </c>
      <c r="E2008" s="31" t="s">
        <v>45</v>
      </c>
      <c r="F2008" s="33">
        <v>31.5</v>
      </c>
      <c r="G2008" s="33">
        <v>10.0</v>
      </c>
      <c r="H2008" s="33">
        <v>15.12</v>
      </c>
    </row>
  </sheetData>
  <autoFilter ref="$A$1:$Z$4096"/>
  <drawing r:id="rId1"/>
</worksheet>
</file>